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ruppeting 2025\"/>
    </mc:Choice>
  </mc:AlternateContent>
  <xr:revisionPtr revIDLastSave="0" documentId="8_{F67947E9-1C28-4639-9AE4-556029AC706F}" xr6:coauthVersionLast="47" xr6:coauthVersionMax="47" xr10:uidLastSave="{00000000-0000-0000-0000-000000000000}"/>
  <bookViews>
    <workbookView xWindow="2340" yWindow="2340" windowWidth="21600" windowHeight="11295" xr2:uid="{00000000-000D-0000-FFFF-FFFF00000000}"/>
  </bookViews>
  <sheets>
    <sheet name="Resultatregnskap" sheetId="1" r:id="rId1"/>
    <sheet name="Balanse" sheetId="2" r:id="rId2"/>
    <sheet name="Noter" sheetId="4" r:id="rId3"/>
    <sheet name="Kontospesifisert" sheetId="6" r:id="rId4"/>
    <sheet name="Ark1" sheetId="5" r:id="rId5"/>
  </sheets>
  <definedNames>
    <definedName name="AS2DocOpenMode" hidden="1">"AS2DocumentEdit"</definedName>
    <definedName name="dsarg" localSheetId="2">Noter!$B$1:$J$84</definedName>
    <definedName name="Print_Area" localSheetId="1">Balanse!$A$1:$H$45</definedName>
    <definedName name="Print_Area" localSheetId="2">Noter!$B$1:$J$95</definedName>
    <definedName name="Print_Area" localSheetId="0">Resultatregnskap!$A$1:$H$46</definedName>
    <definedName name="Print_Titles" localSheetId="2">Noter!$1:$3</definedName>
    <definedName name="_xlnm.Print_Area" localSheetId="3">Kontospesifisert!$A$1:$G$165</definedName>
    <definedName name="_xlnm.Print_Area" localSheetId="2">Noter!$B$1:$J$116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G43" i="6"/>
  <c r="H80" i="4"/>
  <c r="I50" i="4"/>
  <c r="D19" i="2"/>
  <c r="D43" i="1"/>
  <c r="D26" i="2"/>
  <c r="H81" i="4"/>
  <c r="G14" i="6"/>
  <c r="J106" i="4"/>
  <c r="I106" i="4"/>
  <c r="D25" i="2"/>
  <c r="D12" i="2"/>
  <c r="I72" i="4"/>
  <c r="J72" i="4"/>
  <c r="H50" i="4"/>
  <c r="G139" i="6"/>
  <c r="J51" i="4"/>
  <c r="J49" i="4"/>
  <c r="J50" i="4" l="1"/>
  <c r="J52" i="4" s="1"/>
  <c r="D22" i="2" l="1"/>
  <c r="D46" i="1"/>
  <c r="J66" i="4" l="1"/>
  <c r="J68" i="4" s="1"/>
  <c r="D14" i="2"/>
  <c r="D29" i="2"/>
  <c r="G131" i="6"/>
  <c r="D36" i="1" s="1"/>
  <c r="G104" i="6"/>
  <c r="D33" i="1" s="1"/>
  <c r="G91" i="6"/>
  <c r="D30" i="1" s="1"/>
  <c r="G83" i="6"/>
  <c r="D28" i="1" s="1"/>
  <c r="G67" i="6"/>
  <c r="D26" i="1" s="1"/>
  <c r="G137" i="6"/>
  <c r="D37" i="1" s="1"/>
  <c r="G110" i="6"/>
  <c r="D35" i="1" s="1"/>
  <c r="G107" i="6"/>
  <c r="D34" i="1" s="1"/>
  <c r="G97" i="6"/>
  <c r="D32" i="1" s="1"/>
  <c r="G94" i="6"/>
  <c r="D31" i="1" s="1"/>
  <c r="G87" i="6"/>
  <c r="D29" i="1" s="1"/>
  <c r="G70" i="6"/>
  <c r="D27" i="1" s="1"/>
  <c r="G54" i="6"/>
  <c r="D23" i="1" s="1"/>
  <c r="G49" i="6"/>
  <c r="D22" i="1" s="1"/>
  <c r="G46" i="6"/>
  <c r="G37" i="6"/>
  <c r="G30" i="6"/>
  <c r="D18" i="1" s="1"/>
  <c r="G27" i="6"/>
  <c r="D17" i="1" s="1"/>
  <c r="G23" i="6"/>
  <c r="D16" i="1" s="1"/>
  <c r="G20" i="6"/>
  <c r="D15" i="1" s="1"/>
  <c r="G17" i="6"/>
  <c r="D14" i="1" s="1"/>
  <c r="D13" i="1"/>
  <c r="G10" i="6"/>
  <c r="D12" i="1" s="1"/>
  <c r="G7" i="6"/>
  <c r="D11" i="1" s="1"/>
  <c r="G4" i="6"/>
  <c r="D10" i="1" s="1"/>
  <c r="H23" i="1"/>
  <c r="D24" i="1" l="1"/>
  <c r="D38" i="1"/>
  <c r="G34" i="6"/>
  <c r="G56" i="6" s="1"/>
  <c r="D31" i="2"/>
  <c r="D40" i="1" l="1"/>
  <c r="E83" i="6" l="1"/>
  <c r="C83" i="6"/>
  <c r="D83" i="6"/>
  <c r="H28" i="1" s="1"/>
  <c r="AC67" i="6"/>
  <c r="E137" i="6"/>
  <c r="E131" i="6"/>
  <c r="E104" i="6"/>
  <c r="E91" i="6"/>
  <c r="E67" i="6"/>
  <c r="E54" i="6" l="1"/>
  <c r="I66" i="4" l="1"/>
  <c r="C137" i="6"/>
  <c r="D137" i="6"/>
  <c r="D131" i="6"/>
  <c r="C110" i="6"/>
  <c r="D110" i="6"/>
  <c r="C107" i="6"/>
  <c r="D107" i="6"/>
  <c r="C104" i="6"/>
  <c r="D104" i="6"/>
  <c r="C97" i="6"/>
  <c r="D97" i="6"/>
  <c r="C94" i="6"/>
  <c r="D94" i="6"/>
  <c r="D91" i="6"/>
  <c r="C87" i="6"/>
  <c r="D87" i="6"/>
  <c r="C70" i="6"/>
  <c r="D70" i="6"/>
  <c r="C67" i="6"/>
  <c r="D67" i="6"/>
  <c r="C4" i="6"/>
  <c r="D4" i="6"/>
  <c r="C7" i="6"/>
  <c r="D7" i="6"/>
  <c r="C10" i="6"/>
  <c r="D10" i="6"/>
  <c r="C14" i="6"/>
  <c r="D14" i="6"/>
  <c r="C17" i="6"/>
  <c r="D17" i="6"/>
  <c r="C20" i="6"/>
  <c r="D20" i="6"/>
  <c r="C23" i="6"/>
  <c r="D23" i="6"/>
  <c r="C27" i="6"/>
  <c r="D27" i="6"/>
  <c r="C30" i="6"/>
  <c r="D30" i="6"/>
  <c r="C37" i="6"/>
  <c r="D37" i="6"/>
  <c r="C46" i="6"/>
  <c r="D46" i="6"/>
  <c r="C49" i="6"/>
  <c r="D49" i="6"/>
  <c r="C54" i="6"/>
  <c r="D54" i="6"/>
  <c r="J80" i="4"/>
  <c r="D139" i="6" l="1"/>
  <c r="H28" i="2" l="1"/>
  <c r="H25" i="2"/>
  <c r="H24" i="2"/>
  <c r="H12" i="2"/>
  <c r="H36" i="1"/>
  <c r="H33" i="1"/>
  <c r="H30" i="1"/>
  <c r="H29" i="1"/>
  <c r="E46" i="6" l="1"/>
  <c r="E49" i="6"/>
  <c r="E37" i="6"/>
  <c r="E30" i="6"/>
  <c r="E27" i="6"/>
  <c r="E23" i="6"/>
  <c r="E20" i="6"/>
  <c r="E17" i="6"/>
  <c r="E14" i="6"/>
  <c r="E10" i="6"/>
  <c r="E7" i="6"/>
  <c r="E4" i="6"/>
  <c r="E110" i="6"/>
  <c r="E107" i="6"/>
  <c r="E97" i="6"/>
  <c r="E94" i="6"/>
  <c r="E87" i="6"/>
  <c r="E70" i="6"/>
  <c r="C117" i="6"/>
  <c r="C131" i="6" s="1"/>
  <c r="C90" i="6"/>
  <c r="C91" i="6" s="1"/>
  <c r="E139" i="6" l="1"/>
  <c r="C139" i="6"/>
  <c r="C34" i="6"/>
  <c r="C56" i="6" s="1"/>
  <c r="D34" i="6"/>
  <c r="D56" i="6" s="1"/>
  <c r="E34" i="6"/>
  <c r="F38" i="1" l="1"/>
  <c r="E56" i="6"/>
  <c r="J36" i="4" l="1"/>
  <c r="F14" i="2"/>
  <c r="B17" i="5"/>
  <c r="B6" i="5"/>
  <c r="B18" i="5" s="1"/>
  <c r="B7" i="5"/>
  <c r="G6" i="5"/>
  <c r="E9" i="5"/>
  <c r="I68" i="4" l="1"/>
  <c r="I82" i="4"/>
  <c r="H22" i="2"/>
  <c r="B20" i="5"/>
  <c r="C16" i="5" s="1"/>
  <c r="C9" i="5"/>
  <c r="D9" i="5"/>
  <c r="F9" i="5"/>
  <c r="G9" i="5"/>
  <c r="B9" i="5"/>
  <c r="H6" i="5"/>
  <c r="B36" i="5" l="1"/>
  <c r="C36" i="5" s="1"/>
  <c r="H7" i="5"/>
  <c r="H9" i="5" s="1"/>
  <c r="C15" i="5"/>
  <c r="C13" i="5"/>
  <c r="C14" i="5"/>
  <c r="C12" i="5"/>
  <c r="C17" i="5"/>
  <c r="C18" i="5"/>
  <c r="C34" i="5" l="1"/>
  <c r="C25" i="5"/>
  <c r="C27" i="5"/>
  <c r="C33" i="5"/>
  <c r="C29" i="5"/>
  <c r="C32" i="5"/>
  <c r="C30" i="5"/>
  <c r="C28" i="5"/>
  <c r="C26" i="5"/>
  <c r="C20" i="5"/>
  <c r="I36" i="4" l="1"/>
  <c r="H29" i="2"/>
  <c r="F29" i="2"/>
  <c r="H24" i="1" l="1"/>
  <c r="H38" i="1" l="1"/>
  <c r="H40" i="1" s="1"/>
  <c r="H43" i="1" s="1"/>
  <c r="H14" i="2" l="1"/>
  <c r="F24" i="1"/>
  <c r="F40" i="1" l="1"/>
  <c r="F22" i="2" l="1"/>
  <c r="F31" i="2" s="1"/>
  <c r="H82" i="4"/>
  <c r="J81" i="4"/>
  <c r="J82" i="4" s="1"/>
  <c r="F46" i="1" l="1"/>
  <c r="H46" i="1"/>
  <c r="H31" i="2"/>
</calcChain>
</file>

<file path=xl/sharedStrings.xml><?xml version="1.0" encoding="utf-8"?>
<sst xmlns="http://schemas.openxmlformats.org/spreadsheetml/2006/main" count="315" uniqueCount="254">
  <si>
    <t>Resultatregnskap</t>
  </si>
  <si>
    <t>Note</t>
  </si>
  <si>
    <t>Driftsinntekter og driftskostnader</t>
  </si>
  <si>
    <t>Renteinntekter</t>
  </si>
  <si>
    <t>Sum driftskostnader</t>
  </si>
  <si>
    <t>Årsoverskudd (Årsunderskudd)</t>
  </si>
  <si>
    <t>Overføringer</t>
  </si>
  <si>
    <t>Sum overføringer</t>
  </si>
  <si>
    <t>Eiendeler</t>
  </si>
  <si>
    <t>Sum eiendeler</t>
  </si>
  <si>
    <t>Egenkapital og gjeld</t>
  </si>
  <si>
    <t>Sum egenkapital</t>
  </si>
  <si>
    <t>Sum gjeld</t>
  </si>
  <si>
    <t>Sum gjeld og egenkapital</t>
  </si>
  <si>
    <t>Balanse</t>
  </si>
  <si>
    <t>Note 1</t>
  </si>
  <si>
    <t>Note 2</t>
  </si>
  <si>
    <t>Sum</t>
  </si>
  <si>
    <t>Note 3</t>
  </si>
  <si>
    <t>Note 4</t>
  </si>
  <si>
    <t>Note 5</t>
  </si>
  <si>
    <t>Gaver</t>
  </si>
  <si>
    <t>Lillesand speidergruppe</t>
  </si>
  <si>
    <t>Driftsinntekter</t>
  </si>
  <si>
    <t>Friluftsskolen</t>
  </si>
  <si>
    <t>Sum inntekter</t>
  </si>
  <si>
    <t>Speidermøter</t>
  </si>
  <si>
    <t>Reparasjon og vedlikehold</t>
  </si>
  <si>
    <t>Andre driftskostnader speidergruppa</t>
  </si>
  <si>
    <t>Bankinnskudd</t>
  </si>
  <si>
    <t>Egenkapital speidergruppa</t>
  </si>
  <si>
    <t>Egenkapital friluftsskolen</t>
  </si>
  <si>
    <t>Gaver og prosjektmidler</t>
  </si>
  <si>
    <t>Leverandørgjeld</t>
  </si>
  <si>
    <t>Dugnadsmidler, opptjent av speidere</t>
  </si>
  <si>
    <t>Annonsering</t>
  </si>
  <si>
    <t>Sum kostnader</t>
  </si>
  <si>
    <t>Giver</t>
  </si>
  <si>
    <t>Bevilgning</t>
  </si>
  <si>
    <t>Prosjektmidler</t>
  </si>
  <si>
    <t>Driftstilskudd</t>
  </si>
  <si>
    <t>Lillesand Sparebank</t>
  </si>
  <si>
    <t>Kulturmidler</t>
  </si>
  <si>
    <t>Lillesand kommune</t>
  </si>
  <si>
    <t>Frifond</t>
  </si>
  <si>
    <t>Inntekter Friluftsskolen</t>
  </si>
  <si>
    <t>Kostnader Friluftsskolen</t>
  </si>
  <si>
    <t>Speiderhytta</t>
  </si>
  <si>
    <t xml:space="preserve">I sommersesongen leies hytta ut til feriegjester. Utleien finansierer driftskostnader knyttet til hytta. </t>
  </si>
  <si>
    <t>Leieinntekter</t>
  </si>
  <si>
    <t>Renovasjon, vann og avløp</t>
  </si>
  <si>
    <t>Strøm</t>
  </si>
  <si>
    <t>Grasrotandel Norsk Tipping</t>
  </si>
  <si>
    <t>Merker og skjerf</t>
  </si>
  <si>
    <t>Forsikring</t>
  </si>
  <si>
    <t>Egenkapital</t>
  </si>
  <si>
    <t>Egenkapital 1. januar</t>
  </si>
  <si>
    <t>Speidergruppa</t>
  </si>
  <si>
    <t>Årets resultat</t>
  </si>
  <si>
    <t>Egenkapital 31. desember</t>
  </si>
  <si>
    <t xml:space="preserve">Regnskapsprinsipper </t>
  </si>
  <si>
    <t>Ikke utbetalte utlegg ledere</t>
  </si>
  <si>
    <t>Andre inntekter</t>
  </si>
  <si>
    <t>Kanoer</t>
  </si>
  <si>
    <t>Tilhengere</t>
  </si>
  <si>
    <t xml:space="preserve">Innkjøp av utstyr finansieres enten gjennom gave- eller prosjektmider, eller over speidergruppas ordinære drift. </t>
  </si>
  <si>
    <t>Fast eiendom og utstyr</t>
  </si>
  <si>
    <t>Momskompensasjon</t>
  </si>
  <si>
    <t>Netto resultat</t>
  </si>
  <si>
    <t>Båter</t>
  </si>
  <si>
    <t>15 stk</t>
  </si>
  <si>
    <t>4 stk</t>
  </si>
  <si>
    <t>Diverse telt og turutstyr: Kniver, økser, fiskeredskaper, bålpanner, stormkjøkken, benker, bord mm.</t>
  </si>
  <si>
    <t xml:space="preserve">etter hvert som det skjer inn- og utbetalinger. </t>
  </si>
  <si>
    <t>Regnskapet har frem til 2018 vært ført etter kontantprinsippet, dvs. at inntekter, utgifter og balanseposter blir bokført</t>
  </si>
  <si>
    <t xml:space="preserve">av betalingstidspunkt. Dette er for å få bedre overenstemmelse mellom inntekts- og utgiftsposter i det enkelte regnskapsår. </t>
  </si>
  <si>
    <t>Fra og med regnskapsåret 2018 er inntekter og kostnader bokført på det året de faktisk er opptjent eller påløpt, uavhengig</t>
  </si>
  <si>
    <t>Speiderhytta på Batteriheia ble bygd av speiderne i 1926, og speidergruppa har stått som eier av hytta siden da.</t>
  </si>
  <si>
    <t xml:space="preserve">fra andre steder i landet. </t>
  </si>
  <si>
    <t>Småspeidergruppa har ofte sin første overnattingstur i eller rundt hytta, og hytta lånes også ut til besøkende speidergrupper</t>
  </si>
  <si>
    <t>Utleie hytta</t>
  </si>
  <si>
    <t>Utleie båt, kano</t>
  </si>
  <si>
    <t>Juleneksalg (netto)</t>
  </si>
  <si>
    <t>Grøtfest (netto)</t>
  </si>
  <si>
    <t>Kontingentrefusjon fra Norges Speiderforbund</t>
  </si>
  <si>
    <t>Utgifter andre turer</t>
  </si>
  <si>
    <t>Lederkontingenter og kurs</t>
  </si>
  <si>
    <t>Kostnader gapahuk/Savemyr</t>
  </si>
  <si>
    <t>Utstyr</t>
  </si>
  <si>
    <t>Kostnader båter og tilhengere</t>
  </si>
  <si>
    <t>Egenandel turer</t>
  </si>
  <si>
    <t>Egenandel leirer</t>
  </si>
  <si>
    <t xml:space="preserve">Inntekter fra juleneksalg og grøtfest er netto etter fradrag for påløpte kostnader. </t>
  </si>
  <si>
    <t>Andre kortsiktige fordringer</t>
  </si>
  <si>
    <t>Kundefordringer</t>
  </si>
  <si>
    <t>Annen kortsiktig gjeld</t>
  </si>
  <si>
    <t xml:space="preserve">Gaver og prosjektmidler inntektsføres når vilkårene for utbetaling er innfridd, uavhengig av utbetalingstidspunktet. </t>
  </si>
  <si>
    <t xml:space="preserve">Opptjente, ikke utbetalte prosjektmidler fremgår at note 2. </t>
  </si>
  <si>
    <t>Private givere</t>
  </si>
  <si>
    <t>Hyttefond</t>
  </si>
  <si>
    <t>Egenkapital hyttefond</t>
  </si>
  <si>
    <t>Inntekter</t>
  </si>
  <si>
    <t>Kostnader</t>
  </si>
  <si>
    <t>Hytta</t>
  </si>
  <si>
    <t>drift</t>
  </si>
  <si>
    <t>prosjekter</t>
  </si>
  <si>
    <t>Gruppa</t>
  </si>
  <si>
    <t>Resultat</t>
  </si>
  <si>
    <t>Gaver drift</t>
  </si>
  <si>
    <t>Kontingent</t>
  </si>
  <si>
    <t>Mva-refusjon</t>
  </si>
  <si>
    <t>Grasrotandel</t>
  </si>
  <si>
    <t>Div innt</t>
  </si>
  <si>
    <t>Kostnader:</t>
  </si>
  <si>
    <t>Leir</t>
  </si>
  <si>
    <t>Julenek og grøtfest</t>
  </si>
  <si>
    <t>Møter</t>
  </si>
  <si>
    <t>Fellesturer</t>
  </si>
  <si>
    <t>Savemyr</t>
  </si>
  <si>
    <t>Båter og tilhengere</t>
  </si>
  <si>
    <t>Merker og sjerf</t>
  </si>
  <si>
    <t>Kontingent ledere</t>
  </si>
  <si>
    <t>Annet</t>
  </si>
  <si>
    <t>Prosjektkostnader</t>
  </si>
  <si>
    <t>Gave</t>
  </si>
  <si>
    <t>Prosjektinntekter</t>
  </si>
  <si>
    <t>Gaver - Prosjektinntekter</t>
  </si>
  <si>
    <t>Sum gaver og driftstilskudd</t>
  </si>
  <si>
    <t>Gaver, speiding for alle</t>
  </si>
  <si>
    <t>Leie lager</t>
  </si>
  <si>
    <t>Speiderhytta, strøm, renovasjon, forsikring, vedlikehold mm</t>
  </si>
  <si>
    <t>Leie loaler</t>
  </si>
  <si>
    <t>Avsatt til/dekket fra hyttefond</t>
  </si>
  <si>
    <t>Avsatt til/dekket fra egenkapital Friluftsskolen</t>
  </si>
  <si>
    <t>Avsatt til/dekket fra egenkapital Speidergruppa</t>
  </si>
  <si>
    <t>Sum inntektsførte gaver og prosjektmidler</t>
  </si>
  <si>
    <t>Rest 31.12*</t>
  </si>
  <si>
    <t xml:space="preserve">Innkjøpene har vært kostnadsført fortløpende. Utstyr er balanseført til kr 0. </t>
  </si>
  <si>
    <t>Øynaheia</t>
  </si>
  <si>
    <t>Gaver - Speiding for alle</t>
  </si>
  <si>
    <t>Gaver og tilskudd</t>
  </si>
  <si>
    <t>Salg julenek (netto)</t>
  </si>
  <si>
    <t>Salg grøtfest (netto)</t>
  </si>
  <si>
    <t>Salg Tenkedag</t>
  </si>
  <si>
    <t>Friluftsskolen, deltakeravgift</t>
  </si>
  <si>
    <t>Friluftsskolen, tilskudd</t>
  </si>
  <si>
    <t>Turer, egenandel</t>
  </si>
  <si>
    <t>Turer, egenandel Solhøgda</t>
  </si>
  <si>
    <t>Leirer, deltakeravgift</t>
  </si>
  <si>
    <t>Dugnadsinntekter</t>
  </si>
  <si>
    <t>Salg utstyr</t>
  </si>
  <si>
    <t>Kontingentrefusjon Norges Speiderforbund</t>
  </si>
  <si>
    <t>Leieinntekt hytte</t>
  </si>
  <si>
    <t>Leieinntekt båt, kano og annet utstyr</t>
  </si>
  <si>
    <t>Annen driftsrealtert inntekt</t>
  </si>
  <si>
    <t>Leie lokaler</t>
  </si>
  <si>
    <t>Renovasjon, vann, avløp</t>
  </si>
  <si>
    <t>Anne kostn. Lokaler</t>
  </si>
  <si>
    <t>Leie transportmidler</t>
  </si>
  <si>
    <t>Friluftsutstyr</t>
  </si>
  <si>
    <t>Speidermøter, mat og drikke</t>
  </si>
  <si>
    <t>Speidermøter, driftsmaterialer, reise mm</t>
  </si>
  <si>
    <t>Speiderturer, mat og drikke</t>
  </si>
  <si>
    <t>Speiderturer, driftsmaterialer, reise mm</t>
  </si>
  <si>
    <t>Friluftsskolen, mat og drikke</t>
  </si>
  <si>
    <t>Friluftsskolen, driftsmateriale, reiser mm</t>
  </si>
  <si>
    <t>Friluftsskolen, honorar ledere</t>
  </si>
  <si>
    <t>Fellesrarrangementer, mat</t>
  </si>
  <si>
    <t>Leirkostnader</t>
  </si>
  <si>
    <t>Leirkostnader, tilskudd til speidere</t>
  </si>
  <si>
    <t>Grøtfest</t>
  </si>
  <si>
    <t>Juleneksalg</t>
  </si>
  <si>
    <t>Lysmesse</t>
  </si>
  <si>
    <t>St.georgsdag</t>
  </si>
  <si>
    <t>Patruljekonkurranser</t>
  </si>
  <si>
    <t>Reparasjon og velikehold Speiderhytta/Hønsehuset</t>
  </si>
  <si>
    <t>Reparasjon og vedlikehold Gapahuk (Savemyr)</t>
  </si>
  <si>
    <t>Reparasjon og vedlikehold utstyr</t>
  </si>
  <si>
    <t>Reparasjon og vedlikehold båter</t>
  </si>
  <si>
    <t>Reparasjon og vedlikehold tilhengere</t>
  </si>
  <si>
    <t>Aviser, bøker mm</t>
  </si>
  <si>
    <t>Møtekostnader</t>
  </si>
  <si>
    <t>Kurskostnader</t>
  </si>
  <si>
    <t>Annen kontorkostnad</t>
  </si>
  <si>
    <t>Porto</t>
  </si>
  <si>
    <t>Salgskostnad</t>
  </si>
  <si>
    <t>Nettsider</t>
  </si>
  <si>
    <t>Reklame, annonser</t>
  </si>
  <si>
    <t>Øreavrunding</t>
  </si>
  <si>
    <t>Medemskontingent ledere</t>
  </si>
  <si>
    <t>Medlemskontingent speidere</t>
  </si>
  <si>
    <t>Gaver/premier</t>
  </si>
  <si>
    <t>Bank og kortgebyr</t>
  </si>
  <si>
    <t>Gebyrer Vipps og Deltaker.no</t>
  </si>
  <si>
    <t>Annen kostnad</t>
  </si>
  <si>
    <t>Tap på fordringer</t>
  </si>
  <si>
    <t>Inventar og utstyr (splittet)</t>
  </si>
  <si>
    <t>Forsikringspremie (splittet)</t>
  </si>
  <si>
    <t xml:space="preserve">Styret i Lillesand Speiderguppe: </t>
  </si>
  <si>
    <t xml:space="preserve">Overskudd fra driften av speiderhytta er fra og med 2019 avsatt som et eget "hyttefond" som en del av speiderens egenkapital. </t>
  </si>
  <si>
    <t>Rest 01.01</t>
  </si>
  <si>
    <t>Årets forbruk</t>
  </si>
  <si>
    <t>Renhold Speiderhytta, utbetalt honorar</t>
  </si>
  <si>
    <t>Skjærgårdstur</t>
  </si>
  <si>
    <t>Reklame/annonser (splittet)</t>
  </si>
  <si>
    <t>Kontanter</t>
  </si>
  <si>
    <t>Renhold, utbetalt honorar</t>
  </si>
  <si>
    <t>Tor Nordanger, styreleder</t>
  </si>
  <si>
    <t>Note 6</t>
  </si>
  <si>
    <t>Utgifter leir og andre turer</t>
  </si>
  <si>
    <t>SMUL-leir bevere og småspeidere</t>
  </si>
  <si>
    <t>Skjærgårdstur, alle enhenter</t>
  </si>
  <si>
    <t>Vintertur Øynaheia, alle enheter</t>
  </si>
  <si>
    <t>Andre fellesarrangementer</t>
  </si>
  <si>
    <t>Annen finansinntekt (splittet)</t>
  </si>
  <si>
    <t>Utgifter leirer og andre turer</t>
  </si>
  <si>
    <t>Salg div. arrangementer</t>
  </si>
  <si>
    <t>Salg speidergensere og speiderskjorter</t>
  </si>
  <si>
    <t>Smågaver, ved Savemyr mm</t>
  </si>
  <si>
    <t>Reklame/annonser</t>
  </si>
  <si>
    <t>Inventar og utstyr</t>
  </si>
  <si>
    <t>Gavemidler</t>
  </si>
  <si>
    <t>Jubileumsgave 110 år</t>
  </si>
  <si>
    <t>Lillesand Sanitetsforening</t>
  </si>
  <si>
    <t>Sum ubrukte prosjektmidler</t>
  </si>
  <si>
    <t>St. Georgsdag</t>
  </si>
  <si>
    <t>Patruljekonkurranse stifinnere og vandrere, 5 kamp rovere</t>
  </si>
  <si>
    <t>Dugnadsmidler</t>
  </si>
  <si>
    <t xml:space="preserve">Enkelte dugnadsinntekter blir avsatt for å kunne dekke egenandeler på turer og leirer. Opptjente dugnadsmidler pr. </t>
  </si>
  <si>
    <t xml:space="preserve">utgangen av året er: </t>
  </si>
  <si>
    <t>Rest</t>
  </si>
  <si>
    <t>Maling speiderhytta 2023</t>
  </si>
  <si>
    <t>Sum ikke disponerte dugnadsinntekter</t>
  </si>
  <si>
    <t>Oppjente     midler</t>
  </si>
  <si>
    <t>Disponerte       midler</t>
  </si>
  <si>
    <t>Ubrukte prosjektmidler</t>
  </si>
  <si>
    <t>Grøtfest, kostnader (netto)</t>
  </si>
  <si>
    <t>Salg Tenkedagsfest (netto)</t>
  </si>
  <si>
    <t xml:space="preserve">Tomta eies av speidergruppa. Hytta og utearealene brukes til speidermøter i alle gruppene. </t>
  </si>
  <si>
    <t xml:space="preserve">Speiderhytta og tomta er verdsatt til kr 0 i speidergruppas balanse, og vedlikeholdsutgifter kostnadsføres direkte. </t>
  </si>
  <si>
    <t xml:space="preserve">Oppsparte midler skal kunne benyttes til større utbedringer og vedlikeholdsoppgaver som vil komme fremover. </t>
  </si>
  <si>
    <t xml:space="preserve">egenkapital. </t>
  </si>
  <si>
    <t>I 2023 ble det gjort en stor vedlikeholdsjobb hvor all oppsparte midler ble brukt i tillegg til kr 110 000 fragruppas frie</t>
  </si>
  <si>
    <t>Jamboree Sør-Korea 2023 (avregnet i 2024)</t>
  </si>
  <si>
    <t>Stolpejakten 2022 og 2023 (avregnet i 2024)</t>
  </si>
  <si>
    <t xml:space="preserve">er oppfylt. Restbeløpet er avsatt som gjeld i balansen. </t>
  </si>
  <si>
    <t>* Mottatte, ikke brukte prosjektmidler blir ikke inntektsført før midlene faktisk er brukt og betingelsene for prosjekttilskuddet</t>
  </si>
  <si>
    <t>Speiderhytta og tomta er balanseført til kr 0. Vedlikehold kostnadsføres fortløpende (jfr. Note 1)</t>
  </si>
  <si>
    <t>Noter til regnskapet 2024</t>
  </si>
  <si>
    <t>Eirik Nordby</t>
  </si>
  <si>
    <t>Anine Rulleslag-Jansen</t>
  </si>
  <si>
    <t>Jan-Erik Berntsen</t>
  </si>
  <si>
    <t>Lillesand, 5. mars 2025</t>
  </si>
  <si>
    <t>Siri Hamre (kasserer)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</si>
</sst>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 * #,##0_ ;_ * \-#,##0_ ;_ * &quot;-&quot;??_ ;_ @_ "/>
    <numFmt numFmtId="166" formatCode="_(* #,##0_);_(* \(#,##0\);_(* &quot;-&quot;??_);_(@_)"/>
    <numFmt numFmtId="167" formatCode="0_ ;\-0\ "/>
  </numFmts>
  <fonts count="24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16"/>
      <color indexed="1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37" fontId="8" fillId="0" borderId="0">
      <alignment horizontal="centerContinuous"/>
    </xf>
    <xf numFmtId="0" fontId="10" fillId="0" borderId="0"/>
    <xf numFmtId="37" fontId="9" fillId="0" borderId="0">
      <alignment horizontal="centerContinuous"/>
    </xf>
    <xf numFmtId="16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/>
    <xf numFmtId="0" fontId="2" fillId="0" borderId="0" xfId="0" applyFont="1"/>
    <xf numFmtId="3" fontId="3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/>
    <xf numFmtId="0" fontId="3" fillId="2" borderId="0" xfId="0" applyFont="1" applyFill="1"/>
    <xf numFmtId="0" fontId="7" fillId="2" borderId="0" xfId="0" applyFont="1" applyFill="1"/>
    <xf numFmtId="0" fontId="7" fillId="0" borderId="0" xfId="0" applyFont="1"/>
    <xf numFmtId="3" fontId="7" fillId="0" borderId="0" xfId="0" applyNumberFormat="1" applyFont="1"/>
    <xf numFmtId="3" fontId="2" fillId="0" borderId="0" xfId="0" applyNumberFormat="1" applyFont="1"/>
    <xf numFmtId="38" fontId="3" fillId="0" borderId="0" xfId="0" applyNumberFormat="1" applyFont="1"/>
    <xf numFmtId="38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8" fontId="2" fillId="0" borderId="1" xfId="0" applyNumberFormat="1" applyFont="1" applyBorder="1"/>
    <xf numFmtId="3" fontId="3" fillId="0" borderId="0" xfId="0" applyNumberFormat="1" applyFont="1" applyAlignment="1">
      <alignment horizontal="right"/>
    </xf>
    <xf numFmtId="0" fontId="11" fillId="0" borderId="0" xfId="0" applyFont="1"/>
    <xf numFmtId="0" fontId="2" fillId="0" borderId="3" xfId="0" applyFont="1" applyBorder="1"/>
    <xf numFmtId="3" fontId="3" fillId="0" borderId="3" xfId="0" applyNumberFormat="1" applyFont="1" applyBorder="1"/>
    <xf numFmtId="3" fontId="2" fillId="0" borderId="0" xfId="2" applyNumberFormat="1" applyFont="1" applyAlignment="1">
      <alignment horizontal="left"/>
    </xf>
    <xf numFmtId="3" fontId="2" fillId="0" borderId="0" xfId="2" applyNumberFormat="1" applyFont="1"/>
    <xf numFmtId="0" fontId="7" fillId="0" borderId="3" xfId="0" applyFont="1" applyBorder="1"/>
    <xf numFmtId="38" fontId="3" fillId="0" borderId="0" xfId="0" applyNumberFormat="1" applyFont="1" applyAlignment="1">
      <alignment horizontal="right"/>
    </xf>
    <xf numFmtId="165" fontId="3" fillId="0" borderId="1" xfId="4" applyNumberFormat="1" applyFont="1" applyFill="1" applyBorder="1" applyAlignment="1">
      <alignment horizontal="center"/>
    </xf>
    <xf numFmtId="38" fontId="3" fillId="0" borderId="3" xfId="0" applyNumberFormat="1" applyFont="1" applyBorder="1"/>
    <xf numFmtId="38" fontId="3" fillId="0" borderId="3" xfId="0" applyNumberFormat="1" applyFont="1" applyBorder="1" applyAlignment="1">
      <alignment horizontal="right"/>
    </xf>
    <xf numFmtId="38" fontId="2" fillId="0" borderId="2" xfId="0" applyNumberFormat="1" applyFont="1" applyBorder="1"/>
    <xf numFmtId="38" fontId="2" fillId="0" borderId="2" xfId="0" applyNumberFormat="1" applyFont="1" applyBorder="1" applyAlignment="1">
      <alignment horizontal="right"/>
    </xf>
    <xf numFmtId="165" fontId="3" fillId="0" borderId="1" xfId="4" applyNumberFormat="1" applyFont="1" applyFill="1" applyBorder="1" applyAlignment="1">
      <alignment horizontal="right"/>
    </xf>
    <xf numFmtId="165" fontId="3" fillId="0" borderId="1" xfId="4" applyNumberFormat="1" applyFont="1" applyFill="1" applyBorder="1" applyAlignment="1">
      <alignment horizontal="right" wrapText="1"/>
    </xf>
    <xf numFmtId="38" fontId="3" fillId="0" borderId="0" xfId="0" applyNumberFormat="1" applyFont="1" applyAlignment="1">
      <alignment horizontal="left"/>
    </xf>
    <xf numFmtId="0" fontId="3" fillId="0" borderId="0" xfId="0" applyFont="1" applyAlignment="1">
      <alignment vertical="top"/>
    </xf>
    <xf numFmtId="3" fontId="3" fillId="0" borderId="0" xfId="0" applyNumberFormat="1" applyFont="1" applyAlignment="1">
      <alignment vertical="top"/>
    </xf>
    <xf numFmtId="0" fontId="3" fillId="0" borderId="2" xfId="0" applyFont="1" applyBorder="1" applyAlignment="1">
      <alignment vertical="top"/>
    </xf>
    <xf numFmtId="0" fontId="7" fillId="0" borderId="2" xfId="0" applyFont="1" applyBorder="1"/>
    <xf numFmtId="165" fontId="2" fillId="0" borderId="0" xfId="0" applyNumberFormat="1" applyFont="1"/>
    <xf numFmtId="38" fontId="2" fillId="0" borderId="0" xfId="0" applyNumberFormat="1" applyFont="1"/>
    <xf numFmtId="38" fontId="2" fillId="0" borderId="3" xfId="0" applyNumberFormat="1" applyFont="1" applyBorder="1"/>
    <xf numFmtId="38" fontId="2" fillId="0" borderId="3" xfId="0" applyNumberFormat="1" applyFont="1" applyBorder="1" applyAlignment="1">
      <alignment horizontal="right"/>
    </xf>
    <xf numFmtId="38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0" fontId="14" fillId="0" borderId="0" xfId="0" applyFont="1"/>
    <xf numFmtId="4" fontId="3" fillId="0" borderId="0" xfId="0" applyNumberFormat="1" applyFont="1"/>
    <xf numFmtId="4" fontId="7" fillId="0" borderId="0" xfId="0" applyNumberFormat="1" applyFont="1"/>
    <xf numFmtId="0" fontId="2" fillId="0" borderId="0" xfId="0" quotePrefix="1" applyFont="1" applyAlignment="1">
      <alignment horizontal="center"/>
    </xf>
    <xf numFmtId="0" fontId="3" fillId="0" borderId="3" xfId="0" applyFont="1" applyBorder="1" applyAlignment="1">
      <alignment vertical="top"/>
    </xf>
    <xf numFmtId="0" fontId="2" fillId="0" borderId="0" xfId="0" applyFont="1" applyAlignment="1">
      <alignment horizontal="left"/>
    </xf>
    <xf numFmtId="0" fontId="11" fillId="2" borderId="0" xfId="0" applyFont="1" applyFill="1"/>
    <xf numFmtId="4" fontId="3" fillId="0" borderId="0" xfId="0" applyNumberFormat="1" applyFont="1" applyAlignment="1">
      <alignment horizontal="right"/>
    </xf>
    <xf numFmtId="0" fontId="7" fillId="3" borderId="0" xfId="0" applyFont="1" applyFill="1"/>
    <xf numFmtId="0" fontId="7" fillId="3" borderId="0" xfId="0" applyFont="1" applyFill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4" fontId="3" fillId="3" borderId="0" xfId="0" applyNumberFormat="1" applyFont="1" applyFill="1"/>
    <xf numFmtId="4" fontId="3" fillId="3" borderId="0" xfId="0" applyNumberFormat="1" applyFont="1" applyFill="1" applyAlignment="1">
      <alignment horizontal="right"/>
    </xf>
    <xf numFmtId="3" fontId="7" fillId="3" borderId="0" xfId="0" applyNumberFormat="1" applyFont="1" applyFill="1"/>
    <xf numFmtId="38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/>
    <xf numFmtId="38" fontId="11" fillId="0" borderId="3" xfId="0" applyNumberFormat="1" applyFont="1" applyBorder="1" applyAlignment="1">
      <alignment horizontal="right"/>
    </xf>
    <xf numFmtId="0" fontId="11" fillId="0" borderId="3" xfId="0" applyFont="1" applyBorder="1"/>
    <xf numFmtId="3" fontId="11" fillId="0" borderId="3" xfId="0" applyNumberFormat="1" applyFont="1" applyBorder="1" applyAlignment="1">
      <alignment horizontal="right"/>
    </xf>
    <xf numFmtId="38" fontId="11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8" fontId="3" fillId="0" borderId="0" xfId="0" quotePrefix="1" applyNumberFormat="1" applyFont="1" applyAlignment="1">
      <alignment horizontal="left"/>
    </xf>
    <xf numFmtId="38" fontId="3" fillId="0" borderId="3" xfId="0" quotePrefix="1" applyNumberFormat="1" applyFont="1" applyBorder="1" applyAlignment="1">
      <alignment horizontal="left"/>
    </xf>
    <xf numFmtId="1" fontId="2" fillId="0" borderId="3" xfId="0" applyNumberFormat="1" applyFont="1" applyBorder="1"/>
    <xf numFmtId="0" fontId="3" fillId="0" borderId="3" xfId="0" applyFont="1" applyBorder="1" applyAlignment="1">
      <alignment horizontal="right"/>
    </xf>
    <xf numFmtId="0" fontId="2" fillId="0" borderId="2" xfId="0" applyFont="1" applyBorder="1" applyAlignment="1">
      <alignment vertical="top"/>
    </xf>
    <xf numFmtId="3" fontId="3" fillId="0" borderId="3" xfId="0" applyNumberFormat="1" applyFont="1" applyBorder="1" applyAlignment="1">
      <alignment horizontal="right" vertical="top"/>
    </xf>
    <xf numFmtId="3" fontId="3" fillId="0" borderId="0" xfId="4" applyNumberFormat="1" applyFont="1" applyFill="1" applyBorder="1"/>
    <xf numFmtId="3" fontId="3" fillId="0" borderId="0" xfId="4" applyNumberFormat="1" applyFont="1" applyFill="1" applyBorder="1" applyAlignment="1">
      <alignment vertical="top"/>
    </xf>
    <xf numFmtId="3" fontId="3" fillId="0" borderId="0" xfId="4" applyNumberFormat="1" applyFont="1" applyFill="1"/>
    <xf numFmtId="3" fontId="2" fillId="0" borderId="2" xfId="4" applyNumberFormat="1" applyFont="1" applyFill="1" applyBorder="1"/>
    <xf numFmtId="3" fontId="3" fillId="0" borderId="0" xfId="2" applyNumberFormat="1" applyFont="1" applyAlignment="1">
      <alignment horizontal="left"/>
    </xf>
    <xf numFmtId="38" fontId="2" fillId="0" borderId="0" xfId="0" applyNumberFormat="1" applyFont="1" applyAlignment="1">
      <alignment horizontal="right"/>
    </xf>
    <xf numFmtId="38" fontId="2" fillId="0" borderId="0" xfId="0" applyNumberFormat="1" applyFont="1" applyAlignment="1">
      <alignment horizontal="center"/>
    </xf>
    <xf numFmtId="0" fontId="17" fillId="0" borderId="0" xfId="0" applyFont="1"/>
    <xf numFmtId="166" fontId="17" fillId="0" borderId="0" xfId="4" applyNumberFormat="1" applyFont="1" applyAlignment="1">
      <alignment horizontal="right"/>
    </xf>
    <xf numFmtId="0" fontId="17" fillId="0" borderId="0" xfId="0" applyFont="1" applyAlignment="1">
      <alignment horizontal="right"/>
    </xf>
    <xf numFmtId="9" fontId="17" fillId="0" borderId="0" xfId="5" applyFont="1" applyAlignment="1">
      <alignment horizontal="right"/>
    </xf>
    <xf numFmtId="0" fontId="18" fillId="0" borderId="0" xfId="0" applyFont="1"/>
    <xf numFmtId="38" fontId="19" fillId="0" borderId="0" xfId="0" applyNumberFormat="1" applyFont="1" applyAlignment="1">
      <alignment horizontal="right"/>
    </xf>
    <xf numFmtId="38" fontId="19" fillId="0" borderId="0" xfId="0" applyNumberFormat="1" applyFont="1" applyAlignment="1">
      <alignment horizontal="center"/>
    </xf>
    <xf numFmtId="165" fontId="19" fillId="0" borderId="0" xfId="0" applyNumberFormat="1" applyFont="1"/>
    <xf numFmtId="14" fontId="18" fillId="3" borderId="0" xfId="0" applyNumberFormat="1" applyFont="1" applyFill="1"/>
    <xf numFmtId="3" fontId="18" fillId="3" borderId="0" xfId="4" applyNumberFormat="1" applyFont="1" applyFill="1"/>
    <xf numFmtId="0" fontId="20" fillId="3" borderId="0" xfId="0" applyFont="1" applyFill="1"/>
    <xf numFmtId="0" fontId="20" fillId="3" borderId="0" xfId="0" applyFont="1" applyFill="1" applyAlignment="1">
      <alignment horizontal="right"/>
    </xf>
    <xf numFmtId="0" fontId="18" fillId="3" borderId="0" xfId="0" applyFont="1" applyFill="1"/>
    <xf numFmtId="3" fontId="20" fillId="0" borderId="0" xfId="0" applyNumberFormat="1" applyFont="1"/>
    <xf numFmtId="0" fontId="20" fillId="0" borderId="0" xfId="0" applyFont="1"/>
    <xf numFmtId="0" fontId="2" fillId="0" borderId="1" xfId="4" applyNumberFormat="1" applyFont="1" applyFill="1" applyBorder="1" applyAlignment="1">
      <alignment horizontal="left"/>
    </xf>
    <xf numFmtId="3" fontId="17" fillId="0" borderId="0" xfId="4" applyNumberFormat="1" applyFont="1" applyAlignment="1">
      <alignment horizontal="right"/>
    </xf>
    <xf numFmtId="0" fontId="3" fillId="0" borderId="0" xfId="0" applyFont="1" applyAlignment="1">
      <alignment horizontal="left"/>
    </xf>
    <xf numFmtId="1" fontId="21" fillId="0" borderId="0" xfId="0" quotePrefix="1" applyNumberFormat="1" applyFont="1" applyAlignment="1">
      <alignment horizontal="right"/>
    </xf>
    <xf numFmtId="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 wrapText="1"/>
    </xf>
    <xf numFmtId="4" fontId="21" fillId="0" borderId="0" xfId="0" applyNumberFormat="1" applyFont="1"/>
    <xf numFmtId="4" fontId="2" fillId="0" borderId="0" xfId="0" applyNumberFormat="1" applyFont="1"/>
    <xf numFmtId="0" fontId="2" fillId="4" borderId="0" xfId="0" applyFont="1" applyFill="1"/>
    <xf numFmtId="4" fontId="21" fillId="4" borderId="0" xfId="0" applyNumberFormat="1" applyFont="1" applyFill="1"/>
    <xf numFmtId="4" fontId="2" fillId="4" borderId="0" xfId="0" applyNumberFormat="1" applyFont="1" applyFill="1"/>
    <xf numFmtId="0" fontId="3" fillId="4" borderId="0" xfId="0" applyFont="1" applyFill="1"/>
    <xf numFmtId="4" fontId="3" fillId="4" borderId="0" xfId="0" applyNumberFormat="1" applyFont="1" applyFill="1"/>
    <xf numFmtId="0" fontId="2" fillId="4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3" fillId="5" borderId="0" xfId="0" applyFont="1" applyFill="1"/>
    <xf numFmtId="4" fontId="3" fillId="5" borderId="0" xfId="0" applyNumberFormat="1" applyFont="1" applyFill="1"/>
    <xf numFmtId="4" fontId="21" fillId="5" borderId="0" xfId="0" applyNumberFormat="1" applyFont="1" applyFill="1"/>
    <xf numFmtId="3" fontId="2" fillId="4" borderId="0" xfId="0" applyNumberFormat="1" applyFont="1" applyFill="1"/>
    <xf numFmtId="3" fontId="3" fillId="5" borderId="0" xfId="0" applyNumberFormat="1" applyFont="1" applyFill="1"/>
    <xf numFmtId="3" fontId="3" fillId="4" borderId="0" xfId="0" applyNumberFormat="1" applyFont="1" applyFill="1"/>
    <xf numFmtId="0" fontId="2" fillId="0" borderId="0" xfId="0" applyFont="1" applyAlignment="1">
      <alignment vertical="top"/>
    </xf>
    <xf numFmtId="3" fontId="2" fillId="0" borderId="0" xfId="4" applyNumberFormat="1" applyFont="1" applyFill="1" applyBorder="1"/>
    <xf numFmtId="4" fontId="22" fillId="0" borderId="0" xfId="0" applyNumberFormat="1" applyFont="1"/>
    <xf numFmtId="3" fontId="6" fillId="0" borderId="0" xfId="4" applyNumberFormat="1" applyFont="1" applyAlignment="1">
      <alignment horizontal="right"/>
    </xf>
    <xf numFmtId="3" fontId="2" fillId="0" borderId="0" xfId="4" applyNumberFormat="1" applyFont="1" applyAlignment="1">
      <alignment horizontal="right"/>
    </xf>
    <xf numFmtId="3" fontId="3" fillId="0" borderId="0" xfId="4" applyNumberFormat="1" applyFont="1" applyAlignment="1">
      <alignment horizontal="right"/>
    </xf>
    <xf numFmtId="1" fontId="2" fillId="0" borderId="0" xfId="4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3" fontId="3" fillId="0" borderId="0" xfId="0" quotePrefix="1" applyNumberFormat="1" applyFont="1" applyAlignment="1">
      <alignment horizontal="right"/>
    </xf>
    <xf numFmtId="38" fontId="3" fillId="0" borderId="0" xfId="0" applyNumberFormat="1" applyFont="1" applyAlignment="1">
      <alignment horizontal="center"/>
    </xf>
    <xf numFmtId="165" fontId="3" fillId="0" borderId="0" xfId="0" applyNumberFormat="1" applyFont="1"/>
    <xf numFmtId="38" fontId="11" fillId="0" borderId="2" xfId="0" applyNumberFormat="1" applyFont="1" applyBorder="1" applyAlignment="1">
      <alignment horizontal="right"/>
    </xf>
    <xf numFmtId="0" fontId="11" fillId="0" borderId="2" xfId="0" applyFont="1" applyBorder="1"/>
    <xf numFmtId="3" fontId="11" fillId="0" borderId="2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 vertical="top" wrapText="1"/>
    </xf>
    <xf numFmtId="3" fontId="2" fillId="0" borderId="3" xfId="2" applyNumberFormat="1" applyFont="1" applyBorder="1" applyAlignment="1">
      <alignment horizontal="left"/>
    </xf>
    <xf numFmtId="3" fontId="2" fillId="0" borderId="3" xfId="2" applyNumberFormat="1" applyFont="1" applyBorder="1"/>
    <xf numFmtId="167" fontId="2" fillId="0" borderId="1" xfId="4" applyNumberFormat="1" applyFont="1" applyFill="1" applyBorder="1" applyAlignment="1">
      <alignment horizontal="right"/>
    </xf>
    <xf numFmtId="38" fontId="3" fillId="0" borderId="4" xfId="0" applyNumberFormat="1" applyFont="1" applyBorder="1"/>
    <xf numFmtId="38" fontId="7" fillId="0" borderId="4" xfId="0" applyNumberFormat="1" applyFont="1" applyBorder="1" applyAlignment="1">
      <alignment horizontal="right"/>
    </xf>
    <xf numFmtId="0" fontId="7" fillId="0" borderId="4" xfId="0" applyFont="1" applyBorder="1"/>
    <xf numFmtId="3" fontId="7" fillId="0" borderId="4" xfId="0" applyNumberFormat="1" applyFont="1" applyBorder="1" applyAlignment="1">
      <alignment horizontal="right"/>
    </xf>
    <xf numFmtId="3" fontId="3" fillId="0" borderId="4" xfId="0" applyNumberFormat="1" applyFont="1" applyBorder="1"/>
    <xf numFmtId="4" fontId="23" fillId="6" borderId="0" xfId="0" applyNumberFormat="1" applyFont="1" applyFill="1"/>
    <xf numFmtId="3" fontId="2" fillId="0" borderId="0" xfId="4" applyNumberFormat="1" applyFont="1" applyFill="1" applyAlignment="1">
      <alignment horizontal="right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6">
    <cellStyle name="Komma" xfId="4" builtinId="3"/>
    <cellStyle name="Navn" xfId="1" xr:uid="{00000000-0005-0000-0000-000001000000}"/>
    <cellStyle name="Normal" xfId="0" builtinId="0"/>
    <cellStyle name="Normal_21" xfId="2" xr:uid="{00000000-0005-0000-0000-000004000000}"/>
    <cellStyle name="Prosent" xfId="5" builtinId="5"/>
    <cellStyle name="Rapport" xfId="3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B72-4D65-917B-62CA47570FB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AB72-4D65-917B-62CA47570FB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B72-4D65-917B-62CA47570FB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AB72-4D65-917B-62CA47570FB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B72-4D65-917B-62CA47570FB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C-AB72-4D65-917B-62CA47570FB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B72-4D65-917B-62CA47570FB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B72-4D65-917B-62CA47570FB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B72-4D65-917B-62CA47570FB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B72-4D65-917B-62CA47570FB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AB72-4D65-917B-62CA47570FB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B72-4D65-917B-62CA47570FB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AB72-4D65-917B-62CA47570FBE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AB72-4D65-917B-62CA47570FB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'Ark1'!$A$12:$A$18</c:f>
              <c:strCache>
                <c:ptCount val="7"/>
                <c:pt idx="0">
                  <c:v>Kontingent</c:v>
                </c:pt>
                <c:pt idx="1">
                  <c:v>Mva-refusjon</c:v>
                </c:pt>
                <c:pt idx="2">
                  <c:v>Grasrotandel</c:v>
                </c:pt>
                <c:pt idx="3">
                  <c:v>Gaver drift</c:v>
                </c:pt>
                <c:pt idx="4">
                  <c:v>Leir</c:v>
                </c:pt>
                <c:pt idx="5">
                  <c:v>Julenek og grøtfest</c:v>
                </c:pt>
                <c:pt idx="6">
                  <c:v>Div innt</c:v>
                </c:pt>
              </c:strCache>
            </c:strRef>
          </c:cat>
          <c:val>
            <c:numRef>
              <c:f>'Ark1'!$B$12:$B$18</c:f>
              <c:numCache>
                <c:formatCode>_(* #\ ##0_);_(* \(#\ ##0\);_(* "-"??_);_(@_)</c:formatCode>
                <c:ptCount val="7"/>
                <c:pt idx="0">
                  <c:v>29216</c:v>
                </c:pt>
                <c:pt idx="1">
                  <c:v>24835</c:v>
                </c:pt>
                <c:pt idx="2">
                  <c:v>33268</c:v>
                </c:pt>
                <c:pt idx="3">
                  <c:v>175000</c:v>
                </c:pt>
                <c:pt idx="4">
                  <c:v>16833</c:v>
                </c:pt>
                <c:pt idx="5">
                  <c:v>41672.6</c:v>
                </c:pt>
                <c:pt idx="6">
                  <c:v>17079.069999999985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2-4D65-917B-62CA47570FB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8FB-4BEE-8EBE-7E81CC101B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48FB-4BEE-8EBE-7E81CC101B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48FB-4BEE-8EBE-7E81CC101B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8FB-4BEE-8EBE-7E81CC101B1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48FB-4BEE-8EBE-7E81CC101B1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48FB-4BEE-8EBE-7E81CC101B1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48FB-4BEE-8EBE-7E81CC101B1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48FB-4BEE-8EBE-7E81CC101B1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8FB-4BEE-8EBE-7E81CC101B1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F120-4F2A-909B-7837BA0A340D}"/>
              </c:ext>
            </c:extLst>
          </c:dPt>
          <c:dLbls>
            <c:dLbl>
              <c:idx val="0"/>
              <c:layout>
                <c:manualLayout>
                  <c:x val="3.3333333333333333E-2"/>
                  <c:y val="-3.70370370370370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FB-4BEE-8EBE-7E81CC101B16}"/>
                </c:ext>
              </c:extLst>
            </c:dLbl>
            <c:dLbl>
              <c:idx val="1"/>
              <c:layout>
                <c:manualLayout>
                  <c:x val="2.2222222222222119E-2"/>
                  <c:y val="4.62962962962962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FB-4BEE-8EBE-7E81CC101B1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8FB-4BEE-8EBE-7E81CC101B1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8FB-4BEE-8EBE-7E81CC101B1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48FB-4BEE-8EBE-7E81CC101B1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8FB-4BEE-8EBE-7E81CC101B16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8FB-4BEE-8EBE-7E81CC101B16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8FB-4BEE-8EBE-7E81CC101B16}"/>
                </c:ext>
              </c:extLst>
            </c:dLbl>
            <c:dLbl>
              <c:idx val="8"/>
              <c:layout>
                <c:manualLayout>
                  <c:x val="-3.3333333333333333E-2"/>
                  <c:y val="-1.38888888888888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FB-4BEE-8EBE-7E81CC101B16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F120-4F2A-909B-7837BA0A340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'Ark1'!$A$25:$A$34</c:f>
              <c:strCache>
                <c:ptCount val="10"/>
                <c:pt idx="0">
                  <c:v>Utstyr</c:v>
                </c:pt>
                <c:pt idx="1">
                  <c:v>Møter</c:v>
                </c:pt>
                <c:pt idx="2">
                  <c:v>Fellesturer</c:v>
                </c:pt>
                <c:pt idx="3">
                  <c:v>Leir</c:v>
                </c:pt>
                <c:pt idx="4">
                  <c:v>Savemyr</c:v>
                </c:pt>
                <c:pt idx="5">
                  <c:v>Båter og tilhengere</c:v>
                </c:pt>
                <c:pt idx="6">
                  <c:v>Leie loaler</c:v>
                </c:pt>
                <c:pt idx="7">
                  <c:v>Merker og sjerf</c:v>
                </c:pt>
                <c:pt idx="8">
                  <c:v>Kontingent ledere</c:v>
                </c:pt>
                <c:pt idx="9">
                  <c:v>Annet</c:v>
                </c:pt>
              </c:strCache>
            </c:strRef>
          </c:cat>
          <c:val>
            <c:numRef>
              <c:f>'Ark1'!$B$25:$B$34</c:f>
              <c:numCache>
                <c:formatCode>_(* #\ ##0_);_(* \(#\ ##0\);_(* "-"??_);_(@_)</c:formatCode>
                <c:ptCount val="10"/>
                <c:pt idx="6" formatCode="#,##0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B-4BEE-8EBE-7E81CC101B1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447674</xdr:colOff>
      <xdr:row>0</xdr:row>
      <xdr:rowOff>131761</xdr:rowOff>
    </xdr:from>
    <xdr:to>
      <xdr:col>5</xdr:col>
      <xdr:colOff>531773</xdr:colOff>
      <xdr:row>3</xdr:row>
      <xdr:rowOff>188872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9124" y="131761"/>
          <a:ext cx="1230274" cy="12445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190502</xdr:rowOff>
    </xdr:from>
    <xdr:to>
      <xdr:col>1</xdr:col>
      <xdr:colOff>1045055</xdr:colOff>
      <xdr:row>5</xdr:row>
      <xdr:rowOff>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2"/>
          <a:ext cx="1616594" cy="13858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34</xdr:row>
      <xdr:rowOff>0</xdr:rowOff>
    </xdr:from>
    <xdr:to>
      <xdr:col>9</xdr:col>
      <xdr:colOff>723900</xdr:colOff>
      <xdr:row>34</xdr:row>
      <xdr:rowOff>0</xdr:rowOff>
    </xdr:to>
    <xdr:sp macro="" textlink="">
      <xdr:nvSpPr>
        <xdr:cNvPr id="10125" name="Text Box 15">
          <a:extLst>
            <a:ext uri="{FF2B5EF4-FFF2-40B4-BE49-F238E27FC236}">
              <a16:creationId xmlns:a16="http://schemas.microsoft.com/office/drawing/2014/main" id="{00000000-0008-0000-0200-00008D270000}"/>
            </a:ext>
          </a:extLst>
        </xdr:cNvPr>
        <xdr:cNvSpPr txBox="1">
          <a:spLocks noChangeArrowheads="1"/>
        </xdr:cNvSpPr>
      </xdr:nvSpPr>
      <xdr:spPr bwMode="auto">
        <a:xfrm>
          <a:off x="323850" y="9048750"/>
          <a:ext cx="7934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34</xdr:row>
      <xdr:rowOff>0</xdr:rowOff>
    </xdr:from>
    <xdr:to>
      <xdr:col>9</xdr:col>
      <xdr:colOff>581025</xdr:colOff>
      <xdr:row>34</xdr:row>
      <xdr:rowOff>0</xdr:rowOff>
    </xdr:to>
    <xdr:sp macro="" textlink="">
      <xdr:nvSpPr>
        <xdr:cNvPr id="10126" name="Text Box 16">
          <a:extLst>
            <a:ext uri="{FF2B5EF4-FFF2-40B4-BE49-F238E27FC236}">
              <a16:creationId xmlns:a16="http://schemas.microsoft.com/office/drawing/2014/main" id="{00000000-0008-0000-0200-00008E270000}"/>
            </a:ext>
          </a:extLst>
        </xdr:cNvPr>
        <xdr:cNvSpPr txBox="1">
          <a:spLocks noChangeArrowheads="1"/>
        </xdr:cNvSpPr>
      </xdr:nvSpPr>
      <xdr:spPr bwMode="auto">
        <a:xfrm>
          <a:off x="314325" y="9048750"/>
          <a:ext cx="7800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28575</xdr:colOff>
      <xdr:row>34</xdr:row>
      <xdr:rowOff>0</xdr:rowOff>
    </xdr:from>
    <xdr:to>
      <xdr:col>9</xdr:col>
      <xdr:colOff>600075</xdr:colOff>
      <xdr:row>34</xdr:row>
      <xdr:rowOff>0</xdr:rowOff>
    </xdr:to>
    <xdr:sp macro="" textlink="">
      <xdr:nvSpPr>
        <xdr:cNvPr id="2067" name="Text Box 19">
          <a:extLst>
            <a:ext uri="{FF2B5EF4-FFF2-40B4-BE49-F238E27FC236}">
              <a16:creationId xmlns:a16="http://schemas.microsoft.com/office/drawing/2014/main" id="{00000000-0008-0000-0200-000013080000}"/>
            </a:ext>
          </a:extLst>
        </xdr:cNvPr>
        <xdr:cNvSpPr txBox="1">
          <a:spLocks noChangeArrowheads="1"/>
        </xdr:cNvSpPr>
      </xdr:nvSpPr>
      <xdr:spPr bwMode="auto">
        <a:xfrm>
          <a:off x="342900" y="8162925"/>
          <a:ext cx="779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nb-NO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28575</xdr:colOff>
      <xdr:row>77</xdr:row>
      <xdr:rowOff>0</xdr:rowOff>
    </xdr:from>
    <xdr:to>
      <xdr:col>9</xdr:col>
      <xdr:colOff>704850</xdr:colOff>
      <xdr:row>77</xdr:row>
      <xdr:rowOff>0</xdr:rowOff>
    </xdr:to>
    <xdr:sp macro="" textlink="">
      <xdr:nvSpPr>
        <xdr:cNvPr id="2084" name="Text Box 36">
          <a:extLst>
            <a:ext uri="{FF2B5EF4-FFF2-40B4-BE49-F238E27FC236}">
              <a16:creationId xmlns:a16="http://schemas.microsoft.com/office/drawing/2014/main" id="{00000000-0008-0000-0200-000024080000}"/>
            </a:ext>
          </a:extLst>
        </xdr:cNvPr>
        <xdr:cNvSpPr txBox="1">
          <a:spLocks noChangeArrowheads="1"/>
        </xdr:cNvSpPr>
      </xdr:nvSpPr>
      <xdr:spPr bwMode="auto">
        <a:xfrm>
          <a:off x="342900" y="45167550"/>
          <a:ext cx="789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nb-NO" sz="10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28575</xdr:colOff>
      <xdr:row>77</xdr:row>
      <xdr:rowOff>0</xdr:rowOff>
    </xdr:from>
    <xdr:to>
      <xdr:col>9</xdr:col>
      <xdr:colOff>695325</xdr:colOff>
      <xdr:row>77</xdr:row>
      <xdr:rowOff>0</xdr:rowOff>
    </xdr:to>
    <xdr:sp macro="" textlink="">
      <xdr:nvSpPr>
        <xdr:cNvPr id="2085" name="Text Box 37">
          <a:extLst>
            <a:ext uri="{FF2B5EF4-FFF2-40B4-BE49-F238E27FC236}">
              <a16:creationId xmlns:a16="http://schemas.microsoft.com/office/drawing/2014/main" id="{00000000-0008-0000-0200-000025080000}"/>
            </a:ext>
          </a:extLst>
        </xdr:cNvPr>
        <xdr:cNvSpPr txBox="1">
          <a:spLocks noChangeArrowheads="1"/>
        </xdr:cNvSpPr>
      </xdr:nvSpPr>
      <xdr:spPr bwMode="auto">
        <a:xfrm>
          <a:off x="342900" y="45167550"/>
          <a:ext cx="7886700" cy="0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0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1</xdr:col>
      <xdr:colOff>28575</xdr:colOff>
      <xdr:row>77</xdr:row>
      <xdr:rowOff>0</xdr:rowOff>
    </xdr:from>
    <xdr:to>
      <xdr:col>9</xdr:col>
      <xdr:colOff>714375</xdr:colOff>
      <xdr:row>77</xdr:row>
      <xdr:rowOff>0</xdr:rowOff>
    </xdr:to>
    <xdr:sp macro="" textlink="">
      <xdr:nvSpPr>
        <xdr:cNvPr id="10134" name="Text Box 38">
          <a:extLst>
            <a:ext uri="{FF2B5EF4-FFF2-40B4-BE49-F238E27FC236}">
              <a16:creationId xmlns:a16="http://schemas.microsoft.com/office/drawing/2014/main" id="{00000000-0008-0000-0200-000096270000}"/>
            </a:ext>
          </a:extLst>
        </xdr:cNvPr>
        <xdr:cNvSpPr txBox="1">
          <a:spLocks noChangeArrowheads="1"/>
        </xdr:cNvSpPr>
      </xdr:nvSpPr>
      <xdr:spPr bwMode="auto">
        <a:xfrm>
          <a:off x="342900" y="47548800"/>
          <a:ext cx="7905750" cy="0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9</xdr:col>
      <xdr:colOff>723900</xdr:colOff>
      <xdr:row>34</xdr:row>
      <xdr:rowOff>0</xdr:rowOff>
    </xdr:to>
    <xdr:sp macro="" textlink="">
      <xdr:nvSpPr>
        <xdr:cNvPr id="10135" name="Text Box 39">
          <a:extLst>
            <a:ext uri="{FF2B5EF4-FFF2-40B4-BE49-F238E27FC236}">
              <a16:creationId xmlns:a16="http://schemas.microsoft.com/office/drawing/2014/main" id="{00000000-0008-0000-0200-000097270000}"/>
            </a:ext>
          </a:extLst>
        </xdr:cNvPr>
        <xdr:cNvSpPr txBox="1">
          <a:spLocks noChangeArrowheads="1"/>
        </xdr:cNvSpPr>
      </xdr:nvSpPr>
      <xdr:spPr bwMode="auto">
        <a:xfrm>
          <a:off x="323850" y="9048750"/>
          <a:ext cx="7934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34</xdr:row>
      <xdr:rowOff>0</xdr:rowOff>
    </xdr:from>
    <xdr:to>
      <xdr:col>9</xdr:col>
      <xdr:colOff>581025</xdr:colOff>
      <xdr:row>34</xdr:row>
      <xdr:rowOff>0</xdr:rowOff>
    </xdr:to>
    <xdr:sp macro="" textlink="">
      <xdr:nvSpPr>
        <xdr:cNvPr id="10136" name="Text Box 40">
          <a:extLst>
            <a:ext uri="{FF2B5EF4-FFF2-40B4-BE49-F238E27FC236}">
              <a16:creationId xmlns:a16="http://schemas.microsoft.com/office/drawing/2014/main" id="{00000000-0008-0000-0200-000098270000}"/>
            </a:ext>
          </a:extLst>
        </xdr:cNvPr>
        <xdr:cNvSpPr txBox="1">
          <a:spLocks noChangeArrowheads="1"/>
        </xdr:cNvSpPr>
      </xdr:nvSpPr>
      <xdr:spPr bwMode="auto">
        <a:xfrm>
          <a:off x="314325" y="9048750"/>
          <a:ext cx="7800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28575</xdr:colOff>
      <xdr:row>77</xdr:row>
      <xdr:rowOff>0</xdr:rowOff>
    </xdr:from>
    <xdr:to>
      <xdr:col>9</xdr:col>
      <xdr:colOff>847725</xdr:colOff>
      <xdr:row>77</xdr:row>
      <xdr:rowOff>0</xdr:rowOff>
    </xdr:to>
    <xdr:sp macro="" textlink="">
      <xdr:nvSpPr>
        <xdr:cNvPr id="2089" name="Text Box 41">
          <a:extLst>
            <a:ext uri="{FF2B5EF4-FFF2-40B4-BE49-F238E27FC236}">
              <a16:creationId xmlns:a16="http://schemas.microsoft.com/office/drawing/2014/main" id="{00000000-0008-0000-0200-000029080000}"/>
            </a:ext>
          </a:extLst>
        </xdr:cNvPr>
        <xdr:cNvSpPr txBox="1">
          <a:spLocks noChangeArrowheads="1"/>
        </xdr:cNvSpPr>
      </xdr:nvSpPr>
      <xdr:spPr bwMode="auto">
        <a:xfrm>
          <a:off x="342900" y="45167550"/>
          <a:ext cx="803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0" i="0" strike="noStrike">
              <a:solidFill>
                <a:srgbClr val="FF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nb-NO" sz="10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57150</xdr:colOff>
      <xdr:row>77</xdr:row>
      <xdr:rowOff>19050</xdr:rowOff>
    </xdr:from>
    <xdr:to>
      <xdr:col>9</xdr:col>
      <xdr:colOff>730250</xdr:colOff>
      <xdr:row>77</xdr:row>
      <xdr:rowOff>19050</xdr:rowOff>
    </xdr:to>
    <xdr:sp macro="" textlink="">
      <xdr:nvSpPr>
        <xdr:cNvPr id="10138" name="Text Box 42">
          <a:extLst>
            <a:ext uri="{FF2B5EF4-FFF2-40B4-BE49-F238E27FC236}">
              <a16:creationId xmlns:a16="http://schemas.microsoft.com/office/drawing/2014/main" id="{00000000-0008-0000-0200-00009A270000}"/>
            </a:ext>
          </a:extLst>
        </xdr:cNvPr>
        <xdr:cNvSpPr txBox="1">
          <a:spLocks noChangeArrowheads="1"/>
        </xdr:cNvSpPr>
      </xdr:nvSpPr>
      <xdr:spPr bwMode="auto">
        <a:xfrm>
          <a:off x="374650" y="15862300"/>
          <a:ext cx="7277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28575</xdr:colOff>
      <xdr:row>34</xdr:row>
      <xdr:rowOff>0</xdr:rowOff>
    </xdr:from>
    <xdr:to>
      <xdr:col>9</xdr:col>
      <xdr:colOff>600075</xdr:colOff>
      <xdr:row>34</xdr:row>
      <xdr:rowOff>0</xdr:rowOff>
    </xdr:to>
    <xdr:sp macro="" textlink="">
      <xdr:nvSpPr>
        <xdr:cNvPr id="2091" name="Text Box 43">
          <a:extLst>
            <a:ext uri="{FF2B5EF4-FFF2-40B4-BE49-F238E27FC236}">
              <a16:creationId xmlns:a16="http://schemas.microsoft.com/office/drawing/2014/main" id="{00000000-0008-0000-0200-00002B080000}"/>
            </a:ext>
          </a:extLst>
        </xdr:cNvPr>
        <xdr:cNvSpPr txBox="1">
          <a:spLocks noChangeArrowheads="1"/>
        </xdr:cNvSpPr>
      </xdr:nvSpPr>
      <xdr:spPr bwMode="auto">
        <a:xfrm>
          <a:off x="342900" y="8162925"/>
          <a:ext cx="779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nb-NO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</xdr:row>
          <xdr:rowOff>247650</xdr:rowOff>
        </xdr:from>
        <xdr:to>
          <xdr:col>0</xdr:col>
          <xdr:colOff>228600</xdr:colOff>
          <xdr:row>4</xdr:row>
          <xdr:rowOff>0</xdr:rowOff>
        </xdr:to>
        <xdr:sp macro="" textlink="">
          <xdr:nvSpPr>
            <xdr:cNvPr id="2050" name="Check Box 1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77</xdr:row>
          <xdr:rowOff>0</xdr:rowOff>
        </xdr:from>
        <xdr:to>
          <xdr:col>0</xdr:col>
          <xdr:colOff>219075</xdr:colOff>
          <xdr:row>77</xdr:row>
          <xdr:rowOff>180975</xdr:rowOff>
        </xdr:to>
        <xdr:sp macro="" textlink="">
          <xdr:nvSpPr>
            <xdr:cNvPr id="2051" name="Check Box 4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77</xdr:row>
          <xdr:rowOff>0</xdr:rowOff>
        </xdr:from>
        <xdr:to>
          <xdr:col>0</xdr:col>
          <xdr:colOff>219075</xdr:colOff>
          <xdr:row>77</xdr:row>
          <xdr:rowOff>171450</xdr:rowOff>
        </xdr:to>
        <xdr:sp macro="" textlink="">
          <xdr:nvSpPr>
            <xdr:cNvPr id="2053" name="Check Box 14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77</xdr:row>
          <xdr:rowOff>0</xdr:rowOff>
        </xdr:from>
        <xdr:to>
          <xdr:col>0</xdr:col>
          <xdr:colOff>219075</xdr:colOff>
          <xdr:row>77</xdr:row>
          <xdr:rowOff>171450</xdr:rowOff>
        </xdr:to>
        <xdr:sp macro="" textlink="">
          <xdr:nvSpPr>
            <xdr:cNvPr id="2054" name="Check Box 15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77</xdr:row>
          <xdr:rowOff>0</xdr:rowOff>
        </xdr:from>
        <xdr:to>
          <xdr:col>0</xdr:col>
          <xdr:colOff>219075</xdr:colOff>
          <xdr:row>77</xdr:row>
          <xdr:rowOff>171450</xdr:rowOff>
        </xdr:to>
        <xdr:sp macro="" textlink="">
          <xdr:nvSpPr>
            <xdr:cNvPr id="2055" name="Check Box 1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180975</xdr:colOff>
          <xdr:row>0</xdr:row>
          <xdr:rowOff>0</xdr:rowOff>
        </xdr:from>
        <xdr:to>
          <xdr:col>6</xdr:col>
          <xdr:colOff>1019175</xdr:colOff>
          <xdr:row>0</xdr:row>
          <xdr:rowOff>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Skjul noter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180975</xdr:colOff>
          <xdr:row>0</xdr:row>
          <xdr:rowOff>0</xdr:rowOff>
        </xdr:from>
        <xdr:to>
          <xdr:col>6</xdr:col>
          <xdr:colOff>1019175</xdr:colOff>
          <xdr:row>0</xdr:row>
          <xdr:rowOff>0</xdr:rowOff>
        </xdr:to>
        <xdr:sp macro="" textlink="">
          <xdr:nvSpPr>
            <xdr:cNvPr id="2057" name="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Reset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</xdr:row>
          <xdr:rowOff>247650</xdr:rowOff>
        </xdr:from>
        <xdr:to>
          <xdr:col>0</xdr:col>
          <xdr:colOff>228600</xdr:colOff>
          <xdr:row>4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77</xdr:row>
          <xdr:rowOff>0</xdr:rowOff>
        </xdr:from>
        <xdr:to>
          <xdr:col>0</xdr:col>
          <xdr:colOff>219075</xdr:colOff>
          <xdr:row>79</xdr:row>
          <xdr:rowOff>152400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77</xdr:row>
          <xdr:rowOff>0</xdr:rowOff>
        </xdr:from>
        <xdr:to>
          <xdr:col>0</xdr:col>
          <xdr:colOff>219075</xdr:colOff>
          <xdr:row>77</xdr:row>
          <xdr:rowOff>171450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77</xdr:row>
          <xdr:rowOff>0</xdr:rowOff>
        </xdr:from>
        <xdr:to>
          <xdr:col>0</xdr:col>
          <xdr:colOff>219075</xdr:colOff>
          <xdr:row>77</xdr:row>
          <xdr:rowOff>171450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180975</xdr:colOff>
          <xdr:row>0</xdr:row>
          <xdr:rowOff>0</xdr:rowOff>
        </xdr:from>
        <xdr:to>
          <xdr:col>6</xdr:col>
          <xdr:colOff>1019175</xdr:colOff>
          <xdr:row>0</xdr:row>
          <xdr:rowOff>0</xdr:rowOff>
        </xdr:to>
        <xdr:sp macro="" textlink="">
          <xdr:nvSpPr>
            <xdr:cNvPr id="2080" name="Button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Skjul noter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180975</xdr:colOff>
          <xdr:row>0</xdr:row>
          <xdr:rowOff>0</xdr:rowOff>
        </xdr:from>
        <xdr:to>
          <xdr:col>6</xdr:col>
          <xdr:colOff>1019175</xdr:colOff>
          <xdr:row>0</xdr:row>
          <xdr:rowOff>0</xdr:rowOff>
        </xdr:to>
        <xdr:sp macro="" textlink="">
          <xdr:nvSpPr>
            <xdr:cNvPr id="2081" name="Button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Reset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19050</xdr:colOff>
      <xdr:row>34</xdr:row>
      <xdr:rowOff>0</xdr:rowOff>
    </xdr:from>
    <xdr:to>
      <xdr:col>9</xdr:col>
      <xdr:colOff>723900</xdr:colOff>
      <xdr:row>34</xdr:row>
      <xdr:rowOff>0</xdr:rowOff>
    </xdr:to>
    <xdr:sp macro="" textlink="">
      <xdr:nvSpPr>
        <xdr:cNvPr id="27" name="Text Box 1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357188" y="20121563"/>
          <a:ext cx="7219950" cy="0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</xdr:colOff>
      <xdr:row>104</xdr:row>
      <xdr:rowOff>0</xdr:rowOff>
    </xdr:from>
    <xdr:to>
      <xdr:col>9</xdr:col>
      <xdr:colOff>723900</xdr:colOff>
      <xdr:row>104</xdr:row>
      <xdr:rowOff>0</xdr:rowOff>
    </xdr:to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9C94EDA4-9C10-492C-B58F-967BA1C47842}"/>
            </a:ext>
          </a:extLst>
        </xdr:cNvPr>
        <xdr:cNvSpPr txBox="1">
          <a:spLocks noChangeArrowheads="1"/>
        </xdr:cNvSpPr>
      </xdr:nvSpPr>
      <xdr:spPr bwMode="auto">
        <a:xfrm>
          <a:off x="330200" y="22955250"/>
          <a:ext cx="7315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104</xdr:row>
      <xdr:rowOff>0</xdr:rowOff>
    </xdr:from>
    <xdr:to>
      <xdr:col>9</xdr:col>
      <xdr:colOff>581025</xdr:colOff>
      <xdr:row>104</xdr:row>
      <xdr:rowOff>0</xdr:rowOff>
    </xdr:to>
    <xdr:sp macro="" textlink="">
      <xdr:nvSpPr>
        <xdr:cNvPr id="10" name="Text Box 16">
          <a:extLst>
            <a:ext uri="{FF2B5EF4-FFF2-40B4-BE49-F238E27FC236}">
              <a16:creationId xmlns:a16="http://schemas.microsoft.com/office/drawing/2014/main" id="{EC441F67-DD9F-44CA-9616-E88D9749AC48}"/>
            </a:ext>
          </a:extLst>
        </xdr:cNvPr>
        <xdr:cNvSpPr txBox="1">
          <a:spLocks noChangeArrowheads="1"/>
        </xdr:cNvSpPr>
      </xdr:nvSpPr>
      <xdr:spPr bwMode="auto">
        <a:xfrm>
          <a:off x="317500" y="22955250"/>
          <a:ext cx="7188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28575</xdr:colOff>
      <xdr:row>104</xdr:row>
      <xdr:rowOff>0</xdr:rowOff>
    </xdr:from>
    <xdr:to>
      <xdr:col>9</xdr:col>
      <xdr:colOff>600075</xdr:colOff>
      <xdr:row>104</xdr:row>
      <xdr:rowOff>0</xdr:rowOff>
    </xdr:to>
    <xdr:sp macro="" textlink="">
      <xdr:nvSpPr>
        <xdr:cNvPr id="11" name="Text Box 19">
          <a:extLst>
            <a:ext uri="{FF2B5EF4-FFF2-40B4-BE49-F238E27FC236}">
              <a16:creationId xmlns:a16="http://schemas.microsoft.com/office/drawing/2014/main" id="{26829FB0-CD1D-4928-A673-8F8AE100F5F8}"/>
            </a:ext>
          </a:extLst>
        </xdr:cNvPr>
        <xdr:cNvSpPr txBox="1">
          <a:spLocks noChangeArrowheads="1"/>
        </xdr:cNvSpPr>
      </xdr:nvSpPr>
      <xdr:spPr bwMode="auto">
        <a:xfrm>
          <a:off x="349250" y="22955250"/>
          <a:ext cx="7175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nb-NO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9525</xdr:colOff>
      <xdr:row>104</xdr:row>
      <xdr:rowOff>0</xdr:rowOff>
    </xdr:from>
    <xdr:to>
      <xdr:col>9</xdr:col>
      <xdr:colOff>723900</xdr:colOff>
      <xdr:row>104</xdr:row>
      <xdr:rowOff>0</xdr:rowOff>
    </xdr:to>
    <xdr:sp macro="" textlink="">
      <xdr:nvSpPr>
        <xdr:cNvPr id="12" name="Text Box 39">
          <a:extLst>
            <a:ext uri="{FF2B5EF4-FFF2-40B4-BE49-F238E27FC236}">
              <a16:creationId xmlns:a16="http://schemas.microsoft.com/office/drawing/2014/main" id="{346A1E6B-86E2-4104-AE04-C34FD46BFE7C}"/>
            </a:ext>
          </a:extLst>
        </xdr:cNvPr>
        <xdr:cNvSpPr txBox="1">
          <a:spLocks noChangeArrowheads="1"/>
        </xdr:cNvSpPr>
      </xdr:nvSpPr>
      <xdr:spPr bwMode="auto">
        <a:xfrm>
          <a:off x="330200" y="22955250"/>
          <a:ext cx="7315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104</xdr:row>
      <xdr:rowOff>0</xdr:rowOff>
    </xdr:from>
    <xdr:to>
      <xdr:col>9</xdr:col>
      <xdr:colOff>581025</xdr:colOff>
      <xdr:row>104</xdr:row>
      <xdr:rowOff>0</xdr:rowOff>
    </xdr:to>
    <xdr:sp macro="" textlink="">
      <xdr:nvSpPr>
        <xdr:cNvPr id="13" name="Text Box 40">
          <a:extLst>
            <a:ext uri="{FF2B5EF4-FFF2-40B4-BE49-F238E27FC236}">
              <a16:creationId xmlns:a16="http://schemas.microsoft.com/office/drawing/2014/main" id="{D077FBA9-C0E6-4CE6-86DB-F37651061FA1}"/>
            </a:ext>
          </a:extLst>
        </xdr:cNvPr>
        <xdr:cNvSpPr txBox="1">
          <a:spLocks noChangeArrowheads="1"/>
        </xdr:cNvSpPr>
      </xdr:nvSpPr>
      <xdr:spPr bwMode="auto">
        <a:xfrm>
          <a:off x="317500" y="22955250"/>
          <a:ext cx="7188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28575</xdr:colOff>
      <xdr:row>104</xdr:row>
      <xdr:rowOff>0</xdr:rowOff>
    </xdr:from>
    <xdr:to>
      <xdr:col>9</xdr:col>
      <xdr:colOff>600075</xdr:colOff>
      <xdr:row>104</xdr:row>
      <xdr:rowOff>0</xdr:rowOff>
    </xdr:to>
    <xdr:sp macro="" textlink="">
      <xdr:nvSpPr>
        <xdr:cNvPr id="14" name="Text Box 43">
          <a:extLst>
            <a:ext uri="{FF2B5EF4-FFF2-40B4-BE49-F238E27FC236}">
              <a16:creationId xmlns:a16="http://schemas.microsoft.com/office/drawing/2014/main" id="{60350C61-8805-4B21-9F8C-D5F2DA363D75}"/>
            </a:ext>
          </a:extLst>
        </xdr:cNvPr>
        <xdr:cNvSpPr txBox="1">
          <a:spLocks noChangeArrowheads="1"/>
        </xdr:cNvSpPr>
      </xdr:nvSpPr>
      <xdr:spPr bwMode="auto">
        <a:xfrm>
          <a:off x="349250" y="22955250"/>
          <a:ext cx="7175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nb-NO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b-NO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19050</xdr:colOff>
      <xdr:row>104</xdr:row>
      <xdr:rowOff>0</xdr:rowOff>
    </xdr:from>
    <xdr:to>
      <xdr:col>9</xdr:col>
      <xdr:colOff>723900</xdr:colOff>
      <xdr:row>104</xdr:row>
      <xdr:rowOff>0</xdr:rowOff>
    </xdr:to>
    <xdr:sp macro="" textlink="">
      <xdr:nvSpPr>
        <xdr:cNvPr id="15" name="Text Box 11">
          <a:extLst>
            <a:ext uri="{FF2B5EF4-FFF2-40B4-BE49-F238E27FC236}">
              <a16:creationId xmlns:a16="http://schemas.microsoft.com/office/drawing/2014/main" id="{B85D9253-D597-4FD2-9B88-DAC62A6AD8D5}"/>
            </a:ext>
          </a:extLst>
        </xdr:cNvPr>
        <xdr:cNvSpPr txBox="1">
          <a:spLocks noChangeArrowheads="1"/>
        </xdr:cNvSpPr>
      </xdr:nvSpPr>
      <xdr:spPr bwMode="auto">
        <a:xfrm>
          <a:off x="336550" y="22955250"/>
          <a:ext cx="7308850" cy="0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8</xdr:row>
      <xdr:rowOff>3175</xdr:rowOff>
    </xdr:from>
    <xdr:to>
      <xdr:col>14</xdr:col>
      <xdr:colOff>581025</xdr:colOff>
      <xdr:row>24</xdr:row>
      <xdr:rowOff>104775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206375</xdr:colOff>
      <xdr:row>27</xdr:row>
      <xdr:rowOff>28575</xdr:rowOff>
    </xdr:from>
    <xdr:to>
      <xdr:col>14</xdr:col>
      <xdr:colOff>206375</xdr:colOff>
      <xdr:row>44</xdr:row>
      <xdr:rowOff>130175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zoomScaleNormal="100" workbookViewId="0">
      <selection activeCell="D43" sqref="D43"/>
    </sheetView>
  </sheetViews>
  <sheetFormatPr baseColWidth="10" defaultColWidth="9.28515625" defaultRowHeight="15.75" x14ac:dyDescent="0.25"/>
  <cols>
    <col min="1" max="1" width="8" style="4" customWidth="1"/>
    <col min="2" max="2" width="57.5703125" style="1" customWidth="1"/>
    <col min="3" max="3" width="9.5703125" style="1" customWidth="1"/>
    <col min="4" max="4" width="12.7109375" style="120" customWidth="1"/>
    <col min="5" max="5" width="3.7109375" style="1" customWidth="1"/>
    <col min="6" max="6" width="12.7109375" style="1" customWidth="1"/>
    <col min="7" max="7" width="3.5703125" style="1" customWidth="1"/>
    <col min="8" max="8" width="12.28515625" style="1" hidden="1" customWidth="1"/>
    <col min="9" max="11" width="9.28515625" style="1"/>
    <col min="12" max="12" width="11.28515625" style="1" bestFit="1" customWidth="1"/>
    <col min="13" max="16384" width="9.28515625" style="1"/>
  </cols>
  <sheetData>
    <row r="1" spans="1:8" s="5" customFormat="1" ht="55.9" customHeight="1" x14ac:dyDescent="0.3">
      <c r="A1" s="142" t="s">
        <v>22</v>
      </c>
      <c r="B1" s="142"/>
      <c r="C1" s="142"/>
      <c r="D1" s="142"/>
      <c r="E1" s="142"/>
      <c r="F1" s="142"/>
      <c r="G1" s="142"/>
    </row>
    <row r="2" spans="1:8" s="5" customFormat="1" ht="20.25" x14ac:dyDescent="0.3">
      <c r="A2" s="41"/>
      <c r="D2" s="118"/>
    </row>
    <row r="3" spans="1:8" s="5" customFormat="1" ht="18.75" x14ac:dyDescent="0.3">
      <c r="A3" s="142" t="s">
        <v>0</v>
      </c>
      <c r="B3" s="142"/>
      <c r="C3" s="142"/>
      <c r="D3" s="142"/>
      <c r="E3" s="142"/>
      <c r="F3" s="142"/>
      <c r="G3" s="142"/>
    </row>
    <row r="6" spans="1:8" s="2" customFormat="1" x14ac:dyDescent="0.25">
      <c r="A6" s="4"/>
      <c r="B6" s="2" t="s">
        <v>2</v>
      </c>
      <c r="C6" s="4" t="s">
        <v>1</v>
      </c>
      <c r="D6" s="121">
        <v>2024</v>
      </c>
      <c r="E6" s="4"/>
      <c r="F6" s="2">
        <v>2023</v>
      </c>
      <c r="H6" s="2">
        <v>2021</v>
      </c>
    </row>
    <row r="7" spans="1:8" x14ac:dyDescent="0.25">
      <c r="C7" s="4"/>
      <c r="D7" s="119"/>
      <c r="E7" s="4"/>
    </row>
    <row r="8" spans="1:8" x14ac:dyDescent="0.25">
      <c r="B8" s="2" t="s">
        <v>23</v>
      </c>
      <c r="C8" s="4"/>
      <c r="D8" s="119"/>
      <c r="E8" s="4"/>
    </row>
    <row r="9" spans="1:8" s="2" customFormat="1" x14ac:dyDescent="0.25">
      <c r="A9" s="4"/>
      <c r="C9" s="4"/>
      <c r="D9" s="119"/>
      <c r="E9" s="4"/>
      <c r="F9" s="10"/>
      <c r="G9" s="10"/>
      <c r="H9" s="10"/>
    </row>
    <row r="10" spans="1:8" x14ac:dyDescent="0.25">
      <c r="B10" s="1" t="s">
        <v>80</v>
      </c>
      <c r="C10" s="4">
        <v>1</v>
      </c>
      <c r="D10" s="119">
        <f>-Kontospesifisert!G4</f>
        <v>80650</v>
      </c>
      <c r="E10" s="4"/>
      <c r="F10" s="3">
        <v>74600</v>
      </c>
      <c r="G10" s="3"/>
      <c r="H10" s="3">
        <v>60000</v>
      </c>
    </row>
    <row r="11" spans="1:8" x14ac:dyDescent="0.25">
      <c r="B11" s="1" t="s">
        <v>81</v>
      </c>
      <c r="C11" s="4"/>
      <c r="D11" s="119">
        <f>-Kontospesifisert!G7</f>
        <v>12000</v>
      </c>
      <c r="E11" s="4"/>
      <c r="F11" s="3">
        <v>12400</v>
      </c>
      <c r="G11" s="3"/>
      <c r="H11" s="3">
        <v>9000</v>
      </c>
    </row>
    <row r="12" spans="1:8" x14ac:dyDescent="0.25">
      <c r="B12" s="1" t="s">
        <v>82</v>
      </c>
      <c r="C12" s="4"/>
      <c r="D12" s="119">
        <f>-Kontospesifisert!G10</f>
        <v>24875</v>
      </c>
      <c r="E12" s="4"/>
      <c r="F12" s="3">
        <v>18288</v>
      </c>
      <c r="G12" s="3"/>
      <c r="H12" s="3">
        <v>40275</v>
      </c>
    </row>
    <row r="13" spans="1:8" x14ac:dyDescent="0.25">
      <c r="B13" s="1" t="s">
        <v>83</v>
      </c>
      <c r="C13" s="4"/>
      <c r="D13" s="119">
        <f>-Kontospesifisert!G14</f>
        <v>675</v>
      </c>
      <c r="E13" s="4"/>
      <c r="F13" s="3">
        <v>1953.04</v>
      </c>
      <c r="G13" s="3"/>
      <c r="H13" s="3">
        <v>1398</v>
      </c>
    </row>
    <row r="14" spans="1:8" x14ac:dyDescent="0.25">
      <c r="B14" s="1" t="s">
        <v>84</v>
      </c>
      <c r="C14" s="4"/>
      <c r="D14" s="119">
        <f>-Kontospesifisert!G17</f>
        <v>13506</v>
      </c>
      <c r="E14" s="4"/>
      <c r="F14" s="3">
        <v>22850</v>
      </c>
      <c r="G14" s="3"/>
      <c r="H14" s="3">
        <v>29216</v>
      </c>
    </row>
    <row r="15" spans="1:8" x14ac:dyDescent="0.25">
      <c r="B15" s="1" t="s">
        <v>67</v>
      </c>
      <c r="C15" s="4"/>
      <c r="D15" s="119">
        <f>-Kontospesifisert!G20</f>
        <v>31920</v>
      </c>
      <c r="E15" s="4"/>
      <c r="F15" s="3">
        <v>29978</v>
      </c>
      <c r="G15" s="3"/>
      <c r="H15" s="3">
        <v>24835</v>
      </c>
    </row>
    <row r="16" spans="1:8" x14ac:dyDescent="0.25">
      <c r="B16" s="1" t="s">
        <v>52</v>
      </c>
      <c r="C16" s="4"/>
      <c r="D16" s="119">
        <f>-Kontospesifisert!G23</f>
        <v>21151.03</v>
      </c>
      <c r="E16" s="4"/>
      <c r="F16" s="3">
        <v>23059.63</v>
      </c>
      <c r="G16" s="3"/>
      <c r="H16" s="3">
        <v>33268</v>
      </c>
    </row>
    <row r="17" spans="1:12" x14ac:dyDescent="0.25">
      <c r="B17" s="1" t="s">
        <v>21</v>
      </c>
      <c r="C17" s="4">
        <v>3</v>
      </c>
      <c r="D17" s="119">
        <f>-Kontospesifisert!G27</f>
        <v>77350</v>
      </c>
      <c r="E17" s="4"/>
      <c r="F17" s="3">
        <v>130300</v>
      </c>
      <c r="G17" s="3"/>
      <c r="H17" s="3">
        <v>180950</v>
      </c>
    </row>
    <row r="18" spans="1:12" x14ac:dyDescent="0.25">
      <c r="B18" s="1" t="s">
        <v>126</v>
      </c>
      <c r="C18" s="4">
        <v>3</v>
      </c>
      <c r="D18" s="119">
        <f>-Kontospesifisert!G30</f>
        <v>0</v>
      </c>
      <c r="E18" s="4"/>
      <c r="F18" s="3">
        <v>46211.199999999997</v>
      </c>
      <c r="G18" s="3"/>
      <c r="H18" s="3">
        <v>54813</v>
      </c>
    </row>
    <row r="19" spans="1:12" hidden="1" x14ac:dyDescent="0.25">
      <c r="B19" s="1" t="s">
        <v>90</v>
      </c>
      <c r="C19" s="4"/>
      <c r="D19" s="119"/>
      <c r="E19" s="4"/>
      <c r="F19" s="3"/>
      <c r="G19" s="3"/>
      <c r="H19" s="3">
        <v>0</v>
      </c>
    </row>
    <row r="20" spans="1:12" hidden="1" x14ac:dyDescent="0.25">
      <c r="B20" s="1" t="s">
        <v>91</v>
      </c>
      <c r="C20" s="4"/>
      <c r="D20" s="119"/>
      <c r="E20" s="4"/>
      <c r="F20" s="3"/>
      <c r="G20" s="3"/>
      <c r="H20" s="3">
        <v>0</v>
      </c>
    </row>
    <row r="21" spans="1:12" x14ac:dyDescent="0.25">
      <c r="B21" s="1" t="s">
        <v>62</v>
      </c>
      <c r="C21" s="4"/>
      <c r="D21" s="141">
        <f>-Kontospesifisert!G46</f>
        <v>17531.059999999998</v>
      </c>
      <c r="E21" s="4"/>
      <c r="F21" s="3">
        <v>10939</v>
      </c>
      <c r="G21" s="3"/>
      <c r="H21" s="3">
        <v>1350</v>
      </c>
    </row>
    <row r="22" spans="1:12" x14ac:dyDescent="0.25">
      <c r="B22" s="1" t="s">
        <v>3</v>
      </c>
      <c r="C22" s="4"/>
      <c r="D22" s="119">
        <f>-Kontospesifisert!G49</f>
        <v>29363.84</v>
      </c>
      <c r="E22" s="4"/>
      <c r="F22" s="3">
        <v>13831</v>
      </c>
      <c r="G22" s="3"/>
      <c r="H22" s="3">
        <v>779</v>
      </c>
    </row>
    <row r="23" spans="1:12" hidden="1" x14ac:dyDescent="0.25">
      <c r="B23" s="1" t="s">
        <v>45</v>
      </c>
      <c r="C23" s="4">
        <v>4</v>
      </c>
      <c r="D23" s="119">
        <f>-Kontospesifisert!G54</f>
        <v>0</v>
      </c>
      <c r="E23" s="4"/>
      <c r="F23" s="3">
        <v>0</v>
      </c>
      <c r="G23" s="3"/>
      <c r="H23" s="3">
        <f>56850+70000</f>
        <v>126850</v>
      </c>
    </row>
    <row r="24" spans="1:12" s="2" customFormat="1" x14ac:dyDescent="0.25">
      <c r="A24" s="4"/>
      <c r="B24" s="2" t="s">
        <v>25</v>
      </c>
      <c r="C24" s="4"/>
      <c r="D24" s="40">
        <f>SUM(D10:D23)</f>
        <v>309021.93</v>
      </c>
      <c r="E24" s="4"/>
      <c r="F24" s="40">
        <f>SUM(F10:F23)</f>
        <v>384409.87</v>
      </c>
      <c r="G24" s="10"/>
      <c r="H24" s="40">
        <f>SUM(H10:H23)</f>
        <v>562734</v>
      </c>
      <c r="L24" s="10"/>
    </row>
    <row r="25" spans="1:12" x14ac:dyDescent="0.25">
      <c r="C25" s="4"/>
      <c r="D25" s="119"/>
      <c r="E25" s="4"/>
      <c r="F25" s="3"/>
      <c r="G25" s="3"/>
      <c r="H25" s="3"/>
    </row>
    <row r="26" spans="1:12" x14ac:dyDescent="0.25">
      <c r="B26" s="1" t="s">
        <v>130</v>
      </c>
      <c r="C26" s="4">
        <v>1</v>
      </c>
      <c r="D26" s="119">
        <f>Kontospesifisert!G67</f>
        <v>45993.960000000006</v>
      </c>
      <c r="E26" s="4"/>
      <c r="F26" s="3">
        <v>232941.58000000002</v>
      </c>
      <c r="G26" s="3"/>
      <c r="H26" s="3">
        <v>60868</v>
      </c>
      <c r="J26" s="3"/>
    </row>
    <row r="27" spans="1:12" x14ac:dyDescent="0.25">
      <c r="B27" s="1" t="s">
        <v>129</v>
      </c>
      <c r="C27" s="4"/>
      <c r="D27" s="119">
        <f>Kontospesifisert!G70</f>
        <v>18344</v>
      </c>
      <c r="E27" s="4"/>
      <c r="F27" s="3">
        <v>17464</v>
      </c>
      <c r="G27" s="3"/>
      <c r="H27" s="3">
        <v>16000</v>
      </c>
    </row>
    <row r="28" spans="1:12" s="2" customFormat="1" x14ac:dyDescent="0.25">
      <c r="A28" s="4"/>
      <c r="B28" s="1" t="s">
        <v>215</v>
      </c>
      <c r="C28" s="4">
        <v>6</v>
      </c>
      <c r="D28" s="119">
        <f>Kontospesifisert!G83</f>
        <v>16693.920000000002</v>
      </c>
      <c r="E28" s="4"/>
      <c r="F28" s="3">
        <v>43197.79</v>
      </c>
      <c r="G28" s="10"/>
      <c r="H28" s="3">
        <f>Kontospesifisert!D83</f>
        <v>47730.3</v>
      </c>
      <c r="J28" s="10"/>
    </row>
    <row r="29" spans="1:12" ht="15.75" hidden="1" customHeight="1" x14ac:dyDescent="0.25">
      <c r="B29" s="1" t="s">
        <v>88</v>
      </c>
      <c r="C29" s="4">
        <v>3</v>
      </c>
      <c r="D29" s="119">
        <f>Kontospesifisert!G87</f>
        <v>0</v>
      </c>
      <c r="E29" s="4"/>
      <c r="F29" s="3">
        <v>0</v>
      </c>
      <c r="G29" s="3"/>
      <c r="H29" s="3">
        <f>9158.6+3746</f>
        <v>12904.6</v>
      </c>
    </row>
    <row r="30" spans="1:12" x14ac:dyDescent="0.25">
      <c r="B30" s="1" t="s">
        <v>26</v>
      </c>
      <c r="C30" s="4"/>
      <c r="D30" s="119">
        <f>Kontospesifisert!G91</f>
        <v>3607.7000000000003</v>
      </c>
      <c r="E30" s="4"/>
      <c r="F30" s="3">
        <v>7737.56</v>
      </c>
      <c r="G30" s="3"/>
      <c r="H30" s="3">
        <f>6411.25+1239.9</f>
        <v>7651.15</v>
      </c>
    </row>
    <row r="31" spans="1:12" x14ac:dyDescent="0.25">
      <c r="B31" s="1" t="s">
        <v>53</v>
      </c>
      <c r="C31" s="4"/>
      <c r="D31" s="119">
        <f>Kontospesifisert!G94</f>
        <v>7703</v>
      </c>
      <c r="E31" s="4"/>
      <c r="F31" s="3">
        <v>6877</v>
      </c>
      <c r="G31" s="3"/>
      <c r="H31" s="3">
        <v>9206.7000000000007</v>
      </c>
    </row>
    <row r="32" spans="1:12" x14ac:dyDescent="0.25">
      <c r="B32" s="1" t="s">
        <v>86</v>
      </c>
      <c r="C32" s="4"/>
      <c r="D32" s="119">
        <f>Kontospesifisert!G97</f>
        <v>7512</v>
      </c>
      <c r="E32" s="4"/>
      <c r="F32" s="3">
        <v>12799</v>
      </c>
      <c r="G32" s="3"/>
      <c r="H32" s="3">
        <v>11188</v>
      </c>
    </row>
    <row r="33" spans="1:12" x14ac:dyDescent="0.25">
      <c r="B33" s="1" t="s">
        <v>89</v>
      </c>
      <c r="C33" s="4"/>
      <c r="D33" s="119">
        <f>Kontospesifisert!G104</f>
        <v>12076.5</v>
      </c>
      <c r="E33" s="4"/>
      <c r="F33" s="3">
        <v>27867.1</v>
      </c>
      <c r="G33" s="3"/>
      <c r="H33" s="3">
        <f>646.4+8728.35+8561</f>
        <v>17935.75</v>
      </c>
    </row>
    <row r="34" spans="1:12" x14ac:dyDescent="0.25">
      <c r="B34" s="1" t="s">
        <v>87</v>
      </c>
      <c r="C34" s="4"/>
      <c r="D34" s="119">
        <f>Kontospesifisert!G107</f>
        <v>0</v>
      </c>
      <c r="E34" s="4"/>
      <c r="F34" s="3">
        <v>3414.45</v>
      </c>
      <c r="G34" s="3"/>
      <c r="H34" s="3">
        <v>4946.88</v>
      </c>
    </row>
    <row r="35" spans="1:12" x14ac:dyDescent="0.25">
      <c r="B35" s="1" t="s">
        <v>123</v>
      </c>
      <c r="C35" s="4">
        <v>3</v>
      </c>
      <c r="D35" s="119">
        <f>Kontospesifisert!G110</f>
        <v>0</v>
      </c>
      <c r="E35" s="4"/>
      <c r="F35" s="3">
        <v>46211.199999999997</v>
      </c>
      <c r="G35" s="3"/>
      <c r="H35" s="3">
        <v>54813.1</v>
      </c>
    </row>
    <row r="36" spans="1:12" x14ac:dyDescent="0.25">
      <c r="B36" s="1" t="s">
        <v>28</v>
      </c>
      <c r="C36" s="4"/>
      <c r="D36" s="119">
        <f>Kontospesifisert!G131</f>
        <v>11415.36</v>
      </c>
      <c r="E36" s="4"/>
      <c r="F36" s="3">
        <v>22897.260000000002</v>
      </c>
      <c r="G36" s="3"/>
      <c r="H36" s="3">
        <f>2685+1210+56.87+5268+1699+587+1171.61+3712</f>
        <v>16389.48</v>
      </c>
    </row>
    <row r="37" spans="1:12" hidden="1" x14ac:dyDescent="0.25">
      <c r="B37" s="1" t="s">
        <v>46</v>
      </c>
      <c r="C37" s="4">
        <v>4</v>
      </c>
      <c r="D37" s="119">
        <f>Kontospesifisert!G137</f>
        <v>0</v>
      </c>
      <c r="E37" s="4"/>
      <c r="F37" s="3">
        <v>0</v>
      </c>
      <c r="G37" s="3"/>
      <c r="H37" s="3">
        <v>155080.88</v>
      </c>
    </row>
    <row r="38" spans="1:12" s="2" customFormat="1" x14ac:dyDescent="0.25">
      <c r="A38" s="4"/>
      <c r="B38" s="2" t="s">
        <v>4</v>
      </c>
      <c r="C38" s="4"/>
      <c r="D38" s="40">
        <f>SUM(D26:D37)</f>
        <v>123346.44</v>
      </c>
      <c r="E38" s="4"/>
      <c r="F38" s="40">
        <f>SUM(F26:F37)</f>
        <v>421406.94</v>
      </c>
      <c r="G38" s="10"/>
      <c r="H38" s="40">
        <f>SUM(H26:H37)</f>
        <v>414714.84</v>
      </c>
      <c r="L38" s="10"/>
    </row>
    <row r="39" spans="1:12" x14ac:dyDescent="0.25">
      <c r="C39" s="4"/>
      <c r="D39" s="119"/>
      <c r="E39" s="4"/>
      <c r="F39" s="3"/>
      <c r="G39" s="3"/>
      <c r="H39" s="3"/>
      <c r="J39" s="3"/>
    </row>
    <row r="40" spans="1:12" s="2" customFormat="1" x14ac:dyDescent="0.25">
      <c r="A40" s="4"/>
      <c r="B40" s="2" t="s">
        <v>5</v>
      </c>
      <c r="C40" s="4"/>
      <c r="D40" s="40">
        <f>D24-D38</f>
        <v>185675.49</v>
      </c>
      <c r="E40" s="4"/>
      <c r="F40" s="40">
        <f>F24-F38</f>
        <v>-36997.070000000007</v>
      </c>
      <c r="G40" s="10"/>
      <c r="H40" s="40">
        <f>H24-H38</f>
        <v>148019.15999999997</v>
      </c>
    </row>
    <row r="41" spans="1:12" x14ac:dyDescent="0.25">
      <c r="C41" s="4"/>
      <c r="D41" s="119"/>
      <c r="E41" s="4"/>
      <c r="F41" s="3"/>
      <c r="G41" s="3"/>
      <c r="H41" s="3"/>
    </row>
    <row r="42" spans="1:12" s="2" customFormat="1" x14ac:dyDescent="0.25">
      <c r="A42" s="4"/>
      <c r="B42" s="2" t="s">
        <v>6</v>
      </c>
      <c r="C42" s="4"/>
      <c r="D42" s="119"/>
      <c r="E42" s="4"/>
      <c r="F42" s="10"/>
      <c r="G42" s="10"/>
      <c r="H42" s="10"/>
    </row>
    <row r="43" spans="1:12" x14ac:dyDescent="0.25">
      <c r="B43" s="1" t="s">
        <v>134</v>
      </c>
      <c r="C43" s="4">
        <v>4</v>
      </c>
      <c r="D43" s="141">
        <f>163019-12000</f>
        <v>151019</v>
      </c>
      <c r="E43" s="4"/>
      <c r="F43" s="3">
        <v>121347</v>
      </c>
      <c r="G43" s="3"/>
      <c r="H43" s="3">
        <f>H40-H44-H45</f>
        <v>177118.15999999997</v>
      </c>
    </row>
    <row r="44" spans="1:12" x14ac:dyDescent="0.25">
      <c r="B44" s="1" t="s">
        <v>132</v>
      </c>
      <c r="C44" s="4">
        <v>1.5</v>
      </c>
      <c r="D44" s="119">
        <v>34656</v>
      </c>
      <c r="E44" s="4"/>
      <c r="F44" s="3">
        <v>-158341</v>
      </c>
      <c r="G44" s="3"/>
      <c r="H44" s="3">
        <v>-868</v>
      </c>
    </row>
    <row r="45" spans="1:12" hidden="1" x14ac:dyDescent="0.25">
      <c r="B45" s="1" t="s">
        <v>133</v>
      </c>
      <c r="C45" s="4">
        <v>4.5</v>
      </c>
      <c r="D45" s="119">
        <v>0</v>
      </c>
      <c r="E45" s="4"/>
      <c r="F45" s="3">
        <v>0</v>
      </c>
      <c r="G45" s="3"/>
      <c r="H45" s="3">
        <v>-28231</v>
      </c>
    </row>
    <row r="46" spans="1:12" s="2" customFormat="1" x14ac:dyDescent="0.25">
      <c r="A46" s="4"/>
      <c r="B46" s="2" t="s">
        <v>7</v>
      </c>
      <c r="C46" s="4"/>
      <c r="D46" s="40">
        <f>SUM(D43:D45)</f>
        <v>185675</v>
      </c>
      <c r="E46" s="4"/>
      <c r="F46" s="40">
        <f>SUM(F43:F45)</f>
        <v>-36994</v>
      </c>
      <c r="G46" s="10"/>
      <c r="H46" s="40">
        <f>SUM(H43:H45)</f>
        <v>148019.15999999997</v>
      </c>
    </row>
    <row r="47" spans="1:12" x14ac:dyDescent="0.25">
      <c r="C47" s="3"/>
      <c r="E47" s="3"/>
      <c r="F47" s="3"/>
      <c r="G47" s="3"/>
    </row>
    <row r="48" spans="1:12" x14ac:dyDescent="0.25">
      <c r="C48" s="3"/>
      <c r="E48" s="3"/>
      <c r="F48" s="3"/>
      <c r="G48" s="3"/>
    </row>
  </sheetData>
  <mergeCells count="2">
    <mergeCell ref="A1:G1"/>
    <mergeCell ref="A3:G3"/>
  </mergeCells>
  <phoneticPr fontId="4" type="noConversion"/>
  <pageMargins left="0.25" right="0.25" top="0.390625" bottom="0.75" header="0.3" footer="0.3"/>
  <pageSetup paperSize="9" scale="93" fitToHeight="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zoomScaleNormal="100" workbookViewId="0">
      <selection activeCell="B47" sqref="B47"/>
    </sheetView>
  </sheetViews>
  <sheetFormatPr baseColWidth="10" defaultColWidth="9.28515625" defaultRowHeight="15.75" x14ac:dyDescent="0.25"/>
  <cols>
    <col min="1" max="1" width="8.28515625" style="4" customWidth="1"/>
    <col min="2" max="2" width="40.42578125" style="1" customWidth="1"/>
    <col min="3" max="3" width="7.7109375" style="1" customWidth="1"/>
    <col min="4" max="4" width="12.7109375" style="15" customWidth="1"/>
    <col min="5" max="5" width="4.7109375" style="1" customWidth="1"/>
    <col min="6" max="6" width="12.7109375" style="1" customWidth="1"/>
    <col min="7" max="7" width="3.7109375" style="1" customWidth="1"/>
    <col min="8" max="8" width="9.42578125" style="1" hidden="1" customWidth="1"/>
    <col min="9" max="16384" width="9.28515625" style="1"/>
  </cols>
  <sheetData>
    <row r="1" spans="1:9" s="5" customFormat="1" ht="18.75" x14ac:dyDescent="0.3">
      <c r="A1" s="142" t="s">
        <v>22</v>
      </c>
      <c r="B1" s="142"/>
      <c r="C1" s="142"/>
      <c r="D1" s="142"/>
      <c r="E1" s="142"/>
      <c r="F1" s="142"/>
      <c r="G1" s="142"/>
      <c r="H1" s="142"/>
    </row>
    <row r="2" spans="1:9" s="5" customFormat="1" ht="20.25" x14ac:dyDescent="0.3">
      <c r="A2" s="41"/>
      <c r="D2" s="122"/>
    </row>
    <row r="3" spans="1:9" s="5" customFormat="1" ht="18.75" x14ac:dyDescent="0.3">
      <c r="A3" s="142" t="s">
        <v>14</v>
      </c>
      <c r="B3" s="142"/>
      <c r="C3" s="142"/>
      <c r="D3" s="142"/>
      <c r="E3" s="142"/>
      <c r="F3" s="142"/>
      <c r="G3" s="142"/>
      <c r="H3" s="142"/>
    </row>
    <row r="6" spans="1:9" s="2" customFormat="1" x14ac:dyDescent="0.25">
      <c r="A6" s="4"/>
      <c r="B6" s="2" t="s">
        <v>8</v>
      </c>
      <c r="C6" s="4" t="s">
        <v>1</v>
      </c>
      <c r="D6" s="123">
        <v>2024</v>
      </c>
      <c r="E6" s="4"/>
      <c r="F6" s="2">
        <v>2023</v>
      </c>
      <c r="H6" s="2">
        <v>2021</v>
      </c>
    </row>
    <row r="7" spans="1:9" x14ac:dyDescent="0.25">
      <c r="C7" s="4"/>
      <c r="D7" s="65"/>
      <c r="E7" s="4"/>
    </row>
    <row r="8" spans="1:9" x14ac:dyDescent="0.25">
      <c r="B8" s="1" t="s">
        <v>66</v>
      </c>
      <c r="C8" s="4">
        <v>5</v>
      </c>
      <c r="D8" s="15">
        <v>0</v>
      </c>
      <c r="E8" s="4"/>
      <c r="F8" s="1">
        <v>0</v>
      </c>
      <c r="H8" s="1">
        <v>0</v>
      </c>
    </row>
    <row r="9" spans="1:9" x14ac:dyDescent="0.25">
      <c r="A9" s="44"/>
      <c r="B9" s="1" t="s">
        <v>94</v>
      </c>
      <c r="C9" s="44"/>
      <c r="D9" s="124">
        <v>0</v>
      </c>
      <c r="E9" s="44"/>
      <c r="F9" s="3">
        <v>980</v>
      </c>
      <c r="G9" s="3"/>
      <c r="H9" s="3">
        <v>10000</v>
      </c>
      <c r="I9" s="3"/>
    </row>
    <row r="10" spans="1:9" x14ac:dyDescent="0.25">
      <c r="A10" s="44"/>
      <c r="B10" s="1" t="s">
        <v>93</v>
      </c>
      <c r="C10" s="44"/>
      <c r="D10" s="124">
        <v>0</v>
      </c>
      <c r="E10" s="44"/>
      <c r="F10" s="3">
        <v>0</v>
      </c>
      <c r="G10" s="3"/>
      <c r="H10" s="3">
        <v>400</v>
      </c>
      <c r="I10" s="3"/>
    </row>
    <row r="11" spans="1:9" x14ac:dyDescent="0.25">
      <c r="A11" s="44"/>
      <c r="B11" s="1" t="s">
        <v>205</v>
      </c>
      <c r="C11" s="44"/>
      <c r="D11" s="124">
        <v>0</v>
      </c>
      <c r="E11" s="44"/>
      <c r="F11" s="3">
        <v>0</v>
      </c>
      <c r="G11" s="3"/>
      <c r="H11" s="3">
        <v>0</v>
      </c>
      <c r="I11" s="3"/>
    </row>
    <row r="12" spans="1:9" x14ac:dyDescent="0.25">
      <c r="B12" s="1" t="s">
        <v>29</v>
      </c>
      <c r="C12" s="4"/>
      <c r="D12" s="15">
        <f>505697.13+870253.77</f>
        <v>1375950.9</v>
      </c>
      <c r="E12" s="4"/>
      <c r="F12" s="3">
        <v>1295410.22</v>
      </c>
      <c r="G12" s="3"/>
      <c r="H12" s="3">
        <f>611391.59+3849.64+520084.77+56738.79+14376.64</f>
        <v>1206441.43</v>
      </c>
      <c r="I12" s="3"/>
    </row>
    <row r="13" spans="1:9" x14ac:dyDescent="0.25">
      <c r="C13" s="4"/>
      <c r="E13" s="4"/>
      <c r="F13" s="3"/>
      <c r="G13" s="3"/>
      <c r="H13" s="3"/>
      <c r="I13" s="3"/>
    </row>
    <row r="14" spans="1:9" s="2" customFormat="1" x14ac:dyDescent="0.25">
      <c r="A14" s="4"/>
      <c r="B14" s="2" t="s">
        <v>9</v>
      </c>
      <c r="C14" s="4"/>
      <c r="D14" s="40">
        <f>SUM(D8:D13)</f>
        <v>1375950.9</v>
      </c>
      <c r="E14" s="4"/>
      <c r="F14" s="40">
        <f>SUM(F8:F13)</f>
        <v>1296390.22</v>
      </c>
      <c r="G14" s="10"/>
      <c r="H14" s="40">
        <f>SUM(H9:H13)</f>
        <v>1216841.43</v>
      </c>
      <c r="I14" s="10"/>
    </row>
    <row r="15" spans="1:9" x14ac:dyDescent="0.25">
      <c r="C15" s="4"/>
      <c r="E15" s="4"/>
      <c r="F15" s="3"/>
      <c r="G15" s="3"/>
      <c r="H15" s="3"/>
      <c r="I15" s="3"/>
    </row>
    <row r="16" spans="1:9" x14ac:dyDescent="0.25">
      <c r="C16" s="4"/>
      <c r="E16" s="4"/>
    </row>
    <row r="17" spans="1:10" s="2" customFormat="1" x14ac:dyDescent="0.25">
      <c r="A17" s="4"/>
      <c r="B17" s="2" t="s">
        <v>10</v>
      </c>
      <c r="C17" s="4"/>
      <c r="D17" s="15"/>
      <c r="E17" s="4"/>
    </row>
    <row r="18" spans="1:10" x14ac:dyDescent="0.25">
      <c r="C18" s="4"/>
      <c r="E18" s="4"/>
    </row>
    <row r="19" spans="1:10" x14ac:dyDescent="0.25">
      <c r="B19" s="1" t="s">
        <v>30</v>
      </c>
      <c r="C19" s="4">
        <v>4</v>
      </c>
      <c r="D19" s="15">
        <f>1345172+675-12000</f>
        <v>1333847</v>
      </c>
      <c r="E19" s="4"/>
      <c r="F19" s="3">
        <v>1182828</v>
      </c>
      <c r="G19" s="3"/>
      <c r="H19" s="3">
        <v>1044391</v>
      </c>
    </row>
    <row r="20" spans="1:10" x14ac:dyDescent="0.25">
      <c r="B20" s="1" t="s">
        <v>100</v>
      </c>
      <c r="C20" s="4">
        <v>4</v>
      </c>
      <c r="D20" s="15">
        <v>-6303</v>
      </c>
      <c r="E20" s="4"/>
      <c r="F20" s="3">
        <v>-40959</v>
      </c>
      <c r="G20" s="3"/>
      <c r="H20" s="3">
        <v>43644</v>
      </c>
    </row>
    <row r="21" spans="1:10" hidden="1" x14ac:dyDescent="0.25">
      <c r="B21" s="1" t="s">
        <v>31</v>
      </c>
      <c r="C21" s="4">
        <v>4.5</v>
      </c>
      <c r="D21" s="15">
        <v>0</v>
      </c>
      <c r="E21" s="4"/>
      <c r="F21" s="3">
        <v>0</v>
      </c>
      <c r="G21" s="3"/>
      <c r="H21" s="3">
        <v>32969</v>
      </c>
    </row>
    <row r="22" spans="1:10" s="2" customFormat="1" x14ac:dyDescent="0.25">
      <c r="A22" s="4"/>
      <c r="B22" s="2" t="s">
        <v>11</v>
      </c>
      <c r="C22" s="4"/>
      <c r="D22" s="40">
        <f>SUM(D19:D21)</f>
        <v>1327544</v>
      </c>
      <c r="E22" s="4"/>
      <c r="F22" s="40">
        <f>SUM(F19:F21)</f>
        <v>1141869</v>
      </c>
      <c r="G22" s="10"/>
      <c r="H22" s="40">
        <f>SUM(H19:H21)-1</f>
        <v>1121003</v>
      </c>
    </row>
    <row r="23" spans="1:10" x14ac:dyDescent="0.25">
      <c r="C23" s="4"/>
      <c r="E23" s="4"/>
      <c r="F23" s="3"/>
      <c r="G23" s="3"/>
      <c r="H23" s="3"/>
    </row>
    <row r="24" spans="1:10" x14ac:dyDescent="0.25">
      <c r="B24" s="1" t="s">
        <v>33</v>
      </c>
      <c r="C24" s="4"/>
      <c r="D24" s="15">
        <v>1157</v>
      </c>
      <c r="E24" s="4"/>
      <c r="F24" s="3">
        <v>1173</v>
      </c>
      <c r="G24" s="3"/>
      <c r="H24" s="3">
        <f>2539+5000-100</f>
        <v>7439</v>
      </c>
    </row>
    <row r="25" spans="1:10" x14ac:dyDescent="0.25">
      <c r="B25" s="1" t="s">
        <v>61</v>
      </c>
      <c r="C25" s="4"/>
      <c r="D25" s="15">
        <f>11331-1157</f>
        <v>10174</v>
      </c>
      <c r="E25" s="4"/>
      <c r="F25" s="3">
        <v>0</v>
      </c>
      <c r="G25" s="3"/>
      <c r="H25" s="3">
        <f>2865+359.8+20751.7+400</f>
        <v>24376.5</v>
      </c>
      <c r="I25" s="3"/>
      <c r="J25" s="3"/>
    </row>
    <row r="26" spans="1:10" x14ac:dyDescent="0.25">
      <c r="B26" s="1" t="s">
        <v>34</v>
      </c>
      <c r="C26" s="4">
        <v>2</v>
      </c>
      <c r="D26" s="15">
        <f>2100+12000</f>
        <v>14100</v>
      </c>
      <c r="E26" s="4"/>
      <c r="F26" s="3">
        <v>58420</v>
      </c>
      <c r="G26" s="3"/>
      <c r="H26" s="3">
        <v>24089.64</v>
      </c>
    </row>
    <row r="27" spans="1:10" x14ac:dyDescent="0.25">
      <c r="B27" s="1" t="s">
        <v>235</v>
      </c>
      <c r="C27" s="4">
        <v>3</v>
      </c>
      <c r="D27" s="15">
        <v>5712</v>
      </c>
      <c r="E27" s="4"/>
      <c r="F27" s="3">
        <v>10888</v>
      </c>
      <c r="G27" s="3"/>
      <c r="H27" s="3"/>
    </row>
    <row r="28" spans="1:10" x14ac:dyDescent="0.25">
      <c r="B28" s="1" t="s">
        <v>95</v>
      </c>
      <c r="C28" s="4"/>
      <c r="D28" s="15">
        <v>17264</v>
      </c>
      <c r="E28" s="4"/>
      <c r="F28" s="3">
        <v>84041</v>
      </c>
      <c r="G28" s="3"/>
      <c r="H28" s="3">
        <f>26000+13932.98</f>
        <v>39932.979999999996</v>
      </c>
    </row>
    <row r="29" spans="1:10" s="2" customFormat="1" x14ac:dyDescent="0.25">
      <c r="A29" s="4"/>
      <c r="B29" s="2" t="s">
        <v>12</v>
      </c>
      <c r="C29" s="4"/>
      <c r="D29" s="40">
        <f>SUM(D24:D28)</f>
        <v>48407</v>
      </c>
      <c r="E29" s="4"/>
      <c r="F29" s="40">
        <f>SUM(F24:F28)</f>
        <v>154522</v>
      </c>
      <c r="G29" s="10"/>
      <c r="H29" s="40">
        <f>SUM(H24:H28)</f>
        <v>95838.12</v>
      </c>
    </row>
    <row r="30" spans="1:10" x14ac:dyDescent="0.25">
      <c r="C30" s="4"/>
      <c r="E30" s="4"/>
      <c r="F30" s="3"/>
      <c r="G30" s="3"/>
      <c r="H30" s="3"/>
    </row>
    <row r="31" spans="1:10" s="2" customFormat="1" x14ac:dyDescent="0.25">
      <c r="A31" s="4"/>
      <c r="B31" s="2" t="s">
        <v>13</v>
      </c>
      <c r="C31" s="4"/>
      <c r="D31" s="40">
        <f>D22+D29-1</f>
        <v>1375950</v>
      </c>
      <c r="E31" s="4"/>
      <c r="F31" s="40">
        <f>F22+F29-1</f>
        <v>1296390</v>
      </c>
      <c r="G31" s="10"/>
      <c r="H31" s="40">
        <f>H22+H29</f>
        <v>1216841.1200000001</v>
      </c>
      <c r="J31" s="10"/>
    </row>
    <row r="32" spans="1:10" s="2" customFormat="1" x14ac:dyDescent="0.25">
      <c r="A32" s="4"/>
      <c r="D32" s="15"/>
      <c r="F32" s="10"/>
      <c r="G32" s="10"/>
      <c r="H32" s="10"/>
    </row>
    <row r="33" spans="2:8" x14ac:dyDescent="0.25">
      <c r="F33" s="3"/>
      <c r="G33" s="3"/>
      <c r="H33" s="3"/>
    </row>
    <row r="34" spans="2:8" x14ac:dyDescent="0.25">
      <c r="B34" s="1" t="s">
        <v>252</v>
      </c>
    </row>
    <row r="36" spans="2:8" x14ac:dyDescent="0.25">
      <c r="B36" s="1" t="s">
        <v>198</v>
      </c>
    </row>
    <row r="38" spans="2:8" x14ac:dyDescent="0.25">
      <c r="B38" s="1" t="s">
        <v>207</v>
      </c>
    </row>
    <row r="40" spans="2:8" x14ac:dyDescent="0.25">
      <c r="B40" s="1" t="s">
        <v>249</v>
      </c>
    </row>
    <row r="42" spans="2:8" x14ac:dyDescent="0.25">
      <c r="B42" s="1" t="s">
        <v>250</v>
      </c>
    </row>
    <row r="44" spans="2:8" x14ac:dyDescent="0.25">
      <c r="B44" s="1" t="s">
        <v>251</v>
      </c>
    </row>
    <row r="46" spans="2:8" x14ac:dyDescent="0.25">
      <c r="B46" s="1" t="s">
        <v>253</v>
      </c>
    </row>
  </sheetData>
  <mergeCells count="2">
    <mergeCell ref="A1:H1"/>
    <mergeCell ref="A3:H3"/>
  </mergeCells>
  <phoneticPr fontId="4" type="noConversion"/>
  <pageMargins left="0.75" right="0.41" top="1" bottom="1" header="0.5" footer="0.5"/>
  <pageSetup paperSize="9" fitToWidth="0" fitToHeight="0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173"/>
  <sheetViews>
    <sheetView showGridLines="0" zoomScaleNormal="100" zoomScaleSheetLayoutView="100" workbookViewId="0">
      <selection activeCell="B3" sqref="B3:J3"/>
    </sheetView>
  </sheetViews>
  <sheetFormatPr baseColWidth="10" defaultColWidth="9.28515625" defaultRowHeight="15.75" x14ac:dyDescent="0.25"/>
  <cols>
    <col min="1" max="1" width="4.7109375" style="7" customWidth="1"/>
    <col min="2" max="2" width="11.28515625" style="8" customWidth="1"/>
    <col min="3" max="3" width="3.5703125" style="8" customWidth="1"/>
    <col min="4" max="4" width="7.42578125" style="8" customWidth="1"/>
    <col min="5" max="10" width="15.28515625" style="8" customWidth="1"/>
    <col min="11" max="11" width="21.28515625" style="49" customWidth="1"/>
    <col min="12" max="12" width="14.28515625" style="49" customWidth="1"/>
    <col min="13" max="13" width="14" style="49" customWidth="1"/>
    <col min="14" max="14" width="13" style="49" bestFit="1" customWidth="1"/>
    <col min="15" max="15" width="18.5703125" style="49" customWidth="1"/>
    <col min="16" max="16" width="15.28515625" style="49" customWidth="1"/>
    <col min="17" max="17" width="17.7109375" style="49" customWidth="1"/>
    <col min="18" max="18" width="17.7109375" style="50" customWidth="1"/>
    <col min="19" max="19" width="17.7109375" style="49" customWidth="1"/>
    <col min="20" max="26" width="17.7109375" style="8" customWidth="1"/>
    <col min="27" max="27" width="9.28515625" style="8"/>
    <col min="28" max="28" width="14.7109375" style="8" customWidth="1"/>
    <col min="29" max="29" width="12.28515625" style="8" customWidth="1"/>
    <col min="30" max="30" width="15" style="8" customWidth="1"/>
    <col min="31" max="31" width="12.7109375" style="8" customWidth="1"/>
    <col min="32" max="16384" width="9.28515625" style="8"/>
  </cols>
  <sheetData>
    <row r="1" spans="1:21" ht="29.25" customHeight="1" x14ac:dyDescent="0.35">
      <c r="B1" s="143" t="s">
        <v>22</v>
      </c>
      <c r="C1" s="143"/>
      <c r="D1" s="143"/>
      <c r="E1" s="143"/>
      <c r="F1" s="143"/>
      <c r="G1" s="143"/>
      <c r="H1" s="143"/>
      <c r="I1" s="143"/>
      <c r="J1" s="143"/>
    </row>
    <row r="3" spans="1:21" ht="20.25" x14ac:dyDescent="0.3">
      <c r="B3" s="144" t="s">
        <v>248</v>
      </c>
      <c r="C3" s="144"/>
      <c r="D3" s="144"/>
      <c r="E3" s="144"/>
      <c r="F3" s="144"/>
      <c r="G3" s="144"/>
      <c r="H3" s="144"/>
      <c r="I3" s="144"/>
      <c r="J3" s="144"/>
    </row>
    <row r="4" spans="1:21" s="1" customFormat="1" ht="12.75" customHeight="1" x14ac:dyDescent="0.25">
      <c r="A4" s="6"/>
      <c r="K4" s="51"/>
      <c r="L4" s="51"/>
      <c r="M4" s="51"/>
      <c r="N4" s="51"/>
      <c r="O4" s="51"/>
      <c r="P4" s="51"/>
      <c r="Q4" s="51"/>
      <c r="R4" s="52"/>
      <c r="S4" s="51"/>
    </row>
    <row r="5" spans="1:21" x14ac:dyDescent="0.25">
      <c r="B5" s="2" t="s">
        <v>60</v>
      </c>
    </row>
    <row r="7" spans="1:21" x14ac:dyDescent="0.25">
      <c r="B7" s="1" t="s">
        <v>74</v>
      </c>
    </row>
    <row r="8" spans="1:21" x14ac:dyDescent="0.25">
      <c r="B8" s="1" t="s">
        <v>73</v>
      </c>
    </row>
    <row r="9" spans="1:21" x14ac:dyDescent="0.25">
      <c r="B9" s="1" t="s">
        <v>76</v>
      </c>
    </row>
    <row r="10" spans="1:21" x14ac:dyDescent="0.25">
      <c r="B10" s="1" t="s">
        <v>75</v>
      </c>
    </row>
    <row r="11" spans="1:21" x14ac:dyDescent="0.25">
      <c r="B11" s="1"/>
    </row>
    <row r="12" spans="1:21" x14ac:dyDescent="0.25">
      <c r="B12" s="1" t="s">
        <v>92</v>
      </c>
    </row>
    <row r="13" spans="1:21" x14ac:dyDescent="0.25">
      <c r="B13" s="1"/>
    </row>
    <row r="14" spans="1:21" s="1" customFormat="1" x14ac:dyDescent="0.25">
      <c r="A14" s="6"/>
      <c r="B14" s="1" t="s">
        <v>96</v>
      </c>
      <c r="K14" s="51"/>
      <c r="L14" s="51"/>
      <c r="M14" s="51"/>
      <c r="N14" s="51"/>
      <c r="O14" s="53"/>
      <c r="P14" s="53"/>
      <c r="Q14" s="53"/>
      <c r="R14" s="53"/>
      <c r="S14" s="54"/>
      <c r="T14" s="53"/>
      <c r="U14" s="42"/>
    </row>
    <row r="15" spans="1:21" s="1" customFormat="1" x14ac:dyDescent="0.25">
      <c r="A15" s="6"/>
      <c r="B15" s="1" t="s">
        <v>97</v>
      </c>
      <c r="K15" s="51"/>
      <c r="L15" s="51"/>
      <c r="M15" s="51"/>
      <c r="N15" s="51"/>
      <c r="O15" s="53"/>
      <c r="P15" s="53"/>
      <c r="Q15" s="53"/>
      <c r="R15" s="53"/>
      <c r="S15" s="54"/>
      <c r="T15" s="53"/>
      <c r="U15" s="42"/>
    </row>
    <row r="16" spans="1:21" s="1" customFormat="1" x14ac:dyDescent="0.25">
      <c r="A16" s="6"/>
      <c r="K16" s="51"/>
      <c r="L16" s="51"/>
      <c r="M16" s="51"/>
      <c r="N16" s="51"/>
      <c r="O16" s="53"/>
      <c r="P16" s="53"/>
      <c r="Q16" s="53"/>
      <c r="R16" s="53"/>
      <c r="S16" s="54"/>
      <c r="T16" s="53"/>
      <c r="U16" s="42"/>
    </row>
    <row r="17" spans="1:21" s="1" customFormat="1" x14ac:dyDescent="0.25">
      <c r="A17" s="6"/>
      <c r="B17" s="10" t="s">
        <v>15</v>
      </c>
      <c r="C17" s="46" t="s">
        <v>47</v>
      </c>
      <c r="K17" s="51"/>
      <c r="L17" s="51"/>
      <c r="M17" s="51"/>
      <c r="N17" s="51"/>
      <c r="O17" s="53"/>
      <c r="P17" s="53"/>
      <c r="Q17" s="53"/>
      <c r="R17" s="53"/>
      <c r="S17" s="54"/>
      <c r="T17" s="53"/>
      <c r="U17" s="42"/>
    </row>
    <row r="18" spans="1:21" s="1" customFormat="1" x14ac:dyDescent="0.25">
      <c r="A18" s="6"/>
      <c r="B18" s="10"/>
      <c r="C18" s="46"/>
      <c r="K18" s="51"/>
      <c r="L18" s="51"/>
      <c r="M18" s="51"/>
      <c r="N18" s="51"/>
      <c r="O18" s="53"/>
      <c r="P18" s="53"/>
      <c r="Q18" s="53"/>
      <c r="R18" s="53"/>
      <c r="S18" s="54"/>
      <c r="T18" s="53"/>
      <c r="U18" s="42"/>
    </row>
    <row r="19" spans="1:21" s="1" customFormat="1" x14ac:dyDescent="0.25">
      <c r="A19" s="6"/>
      <c r="B19" s="3" t="s">
        <v>77</v>
      </c>
      <c r="C19" s="46"/>
      <c r="K19" s="51"/>
      <c r="L19" s="51"/>
      <c r="M19" s="51"/>
      <c r="N19" s="51"/>
      <c r="O19" s="53"/>
      <c r="P19" s="53"/>
      <c r="Q19" s="53"/>
      <c r="R19" s="53"/>
      <c r="S19" s="54"/>
      <c r="T19" s="53"/>
      <c r="U19" s="42"/>
    </row>
    <row r="20" spans="1:21" s="1" customFormat="1" x14ac:dyDescent="0.25">
      <c r="A20" s="6"/>
      <c r="B20" s="3" t="s">
        <v>238</v>
      </c>
      <c r="C20" s="46"/>
      <c r="K20" s="51"/>
      <c r="L20" s="51"/>
      <c r="M20" s="51"/>
      <c r="N20" s="51"/>
      <c r="O20" s="53"/>
      <c r="P20" s="53"/>
      <c r="Q20" s="53"/>
      <c r="R20" s="53"/>
      <c r="S20" s="54"/>
      <c r="T20" s="53"/>
      <c r="U20" s="42"/>
    </row>
    <row r="21" spans="1:21" s="1" customFormat="1" x14ac:dyDescent="0.25">
      <c r="A21" s="6"/>
      <c r="B21" s="3" t="s">
        <v>79</v>
      </c>
      <c r="C21" s="46"/>
      <c r="K21" s="51"/>
      <c r="L21" s="51"/>
      <c r="M21" s="51"/>
      <c r="N21" s="51"/>
      <c r="O21" s="53"/>
      <c r="P21" s="53"/>
      <c r="Q21" s="53"/>
      <c r="R21" s="53"/>
      <c r="S21" s="54"/>
      <c r="T21" s="53"/>
      <c r="U21" s="42"/>
    </row>
    <row r="22" spans="1:21" s="1" customFormat="1" x14ac:dyDescent="0.25">
      <c r="A22" s="6"/>
      <c r="B22" s="3" t="s">
        <v>78</v>
      </c>
      <c r="C22" s="46"/>
      <c r="K22" s="51"/>
      <c r="L22" s="51"/>
      <c r="M22" s="51"/>
      <c r="N22" s="51"/>
      <c r="O22" s="53"/>
      <c r="P22" s="53"/>
      <c r="Q22" s="53"/>
      <c r="R22" s="53"/>
      <c r="S22" s="54"/>
      <c r="T22" s="53"/>
      <c r="U22" s="42"/>
    </row>
    <row r="23" spans="1:21" s="1" customFormat="1" x14ac:dyDescent="0.25">
      <c r="A23" s="6"/>
      <c r="B23" s="3" t="s">
        <v>48</v>
      </c>
      <c r="C23" s="46"/>
      <c r="K23" s="51"/>
      <c r="L23" s="51"/>
      <c r="M23" s="51"/>
      <c r="N23" s="51"/>
      <c r="O23" s="53"/>
      <c r="P23" s="53"/>
      <c r="Q23" s="53"/>
      <c r="R23" s="53"/>
      <c r="S23" s="54"/>
      <c r="T23" s="53"/>
      <c r="U23" s="42"/>
    </row>
    <row r="24" spans="1:21" s="1" customFormat="1" x14ac:dyDescent="0.25">
      <c r="A24" s="6"/>
      <c r="B24" s="3" t="s">
        <v>239</v>
      </c>
      <c r="C24" s="46"/>
      <c r="K24" s="51"/>
      <c r="L24" s="51"/>
      <c r="M24" s="51"/>
      <c r="N24" s="51"/>
      <c r="O24" s="53"/>
      <c r="P24" s="53"/>
      <c r="Q24" s="53"/>
      <c r="R24" s="53"/>
      <c r="S24" s="54"/>
      <c r="T24" s="53"/>
      <c r="U24" s="42"/>
    </row>
    <row r="25" spans="1:21" s="1" customFormat="1" x14ac:dyDescent="0.25">
      <c r="A25" s="6"/>
      <c r="B25" s="3"/>
      <c r="C25" s="46"/>
      <c r="K25" s="51"/>
      <c r="L25" s="51"/>
      <c r="M25" s="51"/>
      <c r="N25" s="51"/>
      <c r="O25" s="53"/>
      <c r="P25" s="53"/>
      <c r="Q25" s="53"/>
      <c r="R25" s="53"/>
      <c r="S25" s="54"/>
      <c r="T25" s="53"/>
      <c r="U25" s="42"/>
    </row>
    <row r="26" spans="1:21" s="1" customFormat="1" x14ac:dyDescent="0.25">
      <c r="A26" s="6"/>
      <c r="B26" s="37"/>
      <c r="C26" s="38"/>
      <c r="D26" s="38"/>
      <c r="E26" s="17"/>
      <c r="F26" s="17"/>
      <c r="G26" s="58"/>
      <c r="H26" s="58"/>
      <c r="I26" s="68">
        <v>2024</v>
      </c>
      <c r="J26" s="68">
        <v>2023</v>
      </c>
      <c r="K26" s="51"/>
      <c r="L26" s="51"/>
      <c r="M26" s="51"/>
      <c r="N26" s="51"/>
      <c r="O26" s="53"/>
      <c r="P26" s="53"/>
      <c r="Q26" s="53"/>
      <c r="R26" s="53"/>
      <c r="S26" s="54"/>
      <c r="T26" s="53"/>
      <c r="U26" s="42"/>
    </row>
    <row r="27" spans="1:21" s="1" customFormat="1" x14ac:dyDescent="0.25">
      <c r="A27" s="6"/>
      <c r="B27" s="11" t="s">
        <v>49</v>
      </c>
      <c r="C27" s="22"/>
      <c r="D27" s="12"/>
      <c r="E27" s="8"/>
      <c r="F27" s="8"/>
      <c r="G27" s="13"/>
      <c r="H27" s="13"/>
      <c r="I27" s="3">
        <v>80650</v>
      </c>
      <c r="J27" s="3">
        <v>74600</v>
      </c>
      <c r="K27" s="51"/>
      <c r="L27" s="51"/>
      <c r="M27" s="51"/>
      <c r="N27" s="51"/>
      <c r="O27" s="53"/>
      <c r="P27" s="53"/>
      <c r="Q27" s="53"/>
      <c r="R27" s="53"/>
      <c r="S27" s="54"/>
      <c r="T27" s="53"/>
      <c r="U27" s="42"/>
    </row>
    <row r="28" spans="1:21" s="1" customFormat="1" x14ac:dyDescent="0.25">
      <c r="A28" s="6"/>
      <c r="B28" s="11" t="s">
        <v>50</v>
      </c>
      <c r="C28" s="12"/>
      <c r="D28" s="12"/>
      <c r="E28" s="8"/>
      <c r="F28" s="8"/>
      <c r="G28" s="13"/>
      <c r="H28" s="13"/>
      <c r="I28" s="3">
        <v>-9357</v>
      </c>
      <c r="J28" s="3">
        <v>-11270</v>
      </c>
      <c r="K28" s="51"/>
      <c r="L28" s="51"/>
      <c r="M28" s="51"/>
      <c r="N28" s="51"/>
      <c r="O28" s="53"/>
      <c r="P28" s="53"/>
      <c r="Q28" s="53"/>
      <c r="R28" s="53"/>
      <c r="S28" s="54"/>
      <c r="T28" s="53"/>
      <c r="U28" s="42"/>
    </row>
    <row r="29" spans="1:21" s="1" customFormat="1" x14ac:dyDescent="0.25">
      <c r="A29" s="6"/>
      <c r="B29" s="11" t="s">
        <v>51</v>
      </c>
      <c r="C29" s="12"/>
      <c r="D29" s="12"/>
      <c r="E29" s="8"/>
      <c r="F29" s="8"/>
      <c r="G29" s="13"/>
      <c r="H29" s="13"/>
      <c r="I29" s="3">
        <v>-23671</v>
      </c>
      <c r="J29" s="3">
        <v>-25737</v>
      </c>
      <c r="K29" s="51"/>
      <c r="L29" s="51"/>
      <c r="M29" s="51"/>
      <c r="N29" s="51"/>
      <c r="O29" s="53"/>
      <c r="P29" s="53"/>
      <c r="Q29" s="53"/>
      <c r="R29" s="53"/>
      <c r="S29" s="54"/>
      <c r="T29" s="53"/>
      <c r="U29" s="42"/>
    </row>
    <row r="30" spans="1:21" s="1" customFormat="1" x14ac:dyDescent="0.25">
      <c r="A30" s="6"/>
      <c r="B30" s="11" t="s">
        <v>220</v>
      </c>
      <c r="C30" s="12"/>
      <c r="D30" s="12"/>
      <c r="E30" s="8"/>
      <c r="F30" s="8"/>
      <c r="G30" s="13"/>
      <c r="H30" s="13"/>
      <c r="I30" s="3">
        <v>0</v>
      </c>
      <c r="J30" s="3">
        <v>-2797</v>
      </c>
      <c r="K30" s="51"/>
      <c r="L30" s="51"/>
      <c r="M30" s="51"/>
      <c r="N30" s="51"/>
      <c r="O30" s="53"/>
      <c r="P30" s="53"/>
      <c r="Q30" s="53"/>
      <c r="R30" s="53"/>
      <c r="S30" s="54"/>
      <c r="T30" s="53"/>
      <c r="U30" s="42"/>
    </row>
    <row r="31" spans="1:21" s="1" customFormat="1" x14ac:dyDescent="0.25">
      <c r="A31" s="6"/>
      <c r="B31" s="11" t="s">
        <v>27</v>
      </c>
      <c r="C31" s="12"/>
      <c r="D31" s="12"/>
      <c r="E31" s="8"/>
      <c r="F31" s="8"/>
      <c r="G31" s="13"/>
      <c r="H31" s="13"/>
      <c r="I31" s="3">
        <v>-3672</v>
      </c>
      <c r="J31" s="3">
        <v>-185133</v>
      </c>
      <c r="K31" s="51"/>
      <c r="L31" s="51"/>
      <c r="M31" s="51"/>
      <c r="N31" s="51"/>
      <c r="O31" s="53"/>
      <c r="P31" s="53"/>
      <c r="Q31" s="53"/>
      <c r="R31" s="53"/>
      <c r="S31" s="54"/>
      <c r="T31" s="53"/>
      <c r="U31" s="42"/>
    </row>
    <row r="32" spans="1:21" s="1" customFormat="1" hidden="1" x14ac:dyDescent="0.25">
      <c r="A32" s="6"/>
      <c r="B32" s="11" t="s">
        <v>206</v>
      </c>
      <c r="C32" s="12"/>
      <c r="D32" s="12"/>
      <c r="E32" s="8"/>
      <c r="F32" s="8"/>
      <c r="G32" s="13"/>
      <c r="H32" s="13"/>
      <c r="I32" s="3">
        <v>0</v>
      </c>
      <c r="J32" s="3">
        <v>0</v>
      </c>
      <c r="K32" s="51"/>
      <c r="L32" s="51"/>
      <c r="M32" s="51"/>
      <c r="N32" s="51"/>
      <c r="O32" s="53"/>
      <c r="P32" s="53"/>
      <c r="Q32" s="53"/>
      <c r="R32" s="53"/>
      <c r="S32" s="54"/>
      <c r="T32" s="53"/>
      <c r="U32" s="42"/>
    </row>
    <row r="33" spans="1:31" s="1" customFormat="1" x14ac:dyDescent="0.25">
      <c r="A33" s="6"/>
      <c r="B33" s="11" t="s">
        <v>54</v>
      </c>
      <c r="C33" s="12"/>
      <c r="D33" s="12"/>
      <c r="E33" s="8"/>
      <c r="F33" s="8"/>
      <c r="G33" s="13"/>
      <c r="H33" s="13"/>
      <c r="I33" s="3">
        <v>-9294</v>
      </c>
      <c r="J33" s="3">
        <v>-8004</v>
      </c>
      <c r="K33" s="51"/>
      <c r="L33" s="51"/>
      <c r="M33" s="51"/>
      <c r="N33" s="51"/>
      <c r="O33" s="53"/>
      <c r="P33" s="53"/>
      <c r="Q33" s="53"/>
      <c r="R33" s="53"/>
      <c r="S33" s="54"/>
      <c r="T33" s="53"/>
      <c r="U33" s="42"/>
    </row>
    <row r="34" spans="1:31" s="1" customFormat="1" hidden="1" x14ac:dyDescent="0.25">
      <c r="A34" s="6"/>
      <c r="B34" s="24" t="s">
        <v>35</v>
      </c>
      <c r="C34" s="56"/>
      <c r="D34" s="56"/>
      <c r="E34" s="21"/>
      <c r="F34" s="21"/>
      <c r="G34" s="57"/>
      <c r="H34" s="57"/>
      <c r="I34" s="18">
        <v>0</v>
      </c>
      <c r="J34" s="18">
        <v>0</v>
      </c>
      <c r="K34" s="51"/>
      <c r="L34" s="51"/>
      <c r="M34" s="51"/>
      <c r="N34" s="51"/>
      <c r="O34" s="53"/>
      <c r="P34" s="53"/>
      <c r="Q34" s="53"/>
      <c r="R34" s="53"/>
      <c r="S34" s="54"/>
      <c r="T34" s="53"/>
      <c r="U34" s="42"/>
    </row>
    <row r="35" spans="1:31" x14ac:dyDescent="0.25">
      <c r="B35" s="135"/>
      <c r="C35" s="136"/>
      <c r="D35" s="136"/>
      <c r="E35" s="137"/>
      <c r="F35" s="137"/>
      <c r="G35" s="138"/>
      <c r="H35" s="138"/>
      <c r="I35" s="139"/>
      <c r="J35" s="139"/>
      <c r="L35" s="51"/>
      <c r="M35" s="51"/>
      <c r="N35" s="51"/>
      <c r="O35" s="53"/>
      <c r="P35" s="53"/>
      <c r="Q35" s="53"/>
      <c r="R35" s="53"/>
      <c r="S35" s="54"/>
      <c r="T35" s="53"/>
      <c r="U35" s="43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5">
      <c r="B36" s="37" t="s">
        <v>68</v>
      </c>
      <c r="C36" s="60"/>
      <c r="D36" s="60"/>
      <c r="E36" s="61"/>
      <c r="F36" s="61"/>
      <c r="G36" s="62"/>
      <c r="H36" s="62"/>
      <c r="I36" s="59">
        <f>SUM(I27:I34)</f>
        <v>34656</v>
      </c>
      <c r="J36" s="59">
        <f>SUM(J27:J34)</f>
        <v>-158341</v>
      </c>
      <c r="L36" s="51"/>
      <c r="M36" s="51"/>
      <c r="N36" s="51"/>
      <c r="O36" s="53"/>
      <c r="P36" s="53"/>
      <c r="Q36" s="53"/>
      <c r="R36" s="53"/>
      <c r="S36" s="54"/>
      <c r="T36" s="53"/>
      <c r="U36" s="43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25">
      <c r="B37" s="36"/>
      <c r="C37" s="63"/>
      <c r="D37" s="63"/>
      <c r="E37" s="16"/>
      <c r="F37" s="16"/>
      <c r="G37" s="64"/>
      <c r="H37" s="64"/>
      <c r="I37" s="10"/>
      <c r="J37" s="10"/>
      <c r="L37" s="51"/>
      <c r="M37" s="51"/>
      <c r="N37" s="51"/>
      <c r="O37" s="53"/>
      <c r="P37" s="53"/>
      <c r="Q37" s="53"/>
      <c r="R37" s="53"/>
      <c r="S37" s="54"/>
      <c r="T37" s="53"/>
      <c r="U37" s="43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5">
      <c r="B38" s="11" t="s">
        <v>199</v>
      </c>
      <c r="C38" s="63"/>
      <c r="D38" s="63"/>
      <c r="E38" s="16"/>
      <c r="F38" s="16"/>
      <c r="G38" s="64"/>
      <c r="H38" s="64"/>
      <c r="I38" s="10"/>
      <c r="J38" s="10"/>
      <c r="L38" s="51"/>
      <c r="M38" s="51"/>
      <c r="N38" s="51"/>
      <c r="O38" s="53"/>
      <c r="P38" s="53"/>
      <c r="Q38" s="53"/>
      <c r="R38" s="53"/>
      <c r="S38" s="54"/>
      <c r="T38" s="53"/>
      <c r="U38" s="43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5">
      <c r="B39" s="11" t="s">
        <v>240</v>
      </c>
      <c r="C39" s="63"/>
      <c r="D39" s="63"/>
      <c r="E39" s="16"/>
      <c r="F39" s="16"/>
      <c r="G39" s="64"/>
      <c r="H39" s="64"/>
      <c r="I39" s="10"/>
      <c r="J39" s="10"/>
      <c r="L39" s="51"/>
      <c r="M39" s="51"/>
      <c r="N39" s="51"/>
      <c r="O39" s="53"/>
      <c r="P39" s="53"/>
      <c r="Q39" s="53"/>
      <c r="R39" s="53"/>
      <c r="S39" s="54"/>
      <c r="T39" s="53"/>
      <c r="U39" s="43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5">
      <c r="B40" s="11" t="s">
        <v>242</v>
      </c>
      <c r="C40" s="63"/>
      <c r="D40" s="63"/>
      <c r="E40" s="16"/>
      <c r="F40" s="16"/>
      <c r="G40" s="64"/>
      <c r="H40" s="64"/>
      <c r="I40" s="10"/>
      <c r="J40" s="10"/>
      <c r="L40" s="51"/>
      <c r="M40" s="51"/>
      <c r="N40" s="51"/>
      <c r="O40" s="53"/>
      <c r="P40" s="53"/>
      <c r="Q40" s="53"/>
      <c r="R40" s="53"/>
      <c r="S40" s="54"/>
      <c r="T40" s="53"/>
      <c r="U40" s="43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25">
      <c r="B41" s="11" t="s">
        <v>241</v>
      </c>
      <c r="C41" s="63"/>
      <c r="D41" s="63"/>
      <c r="E41" s="16"/>
      <c r="F41" s="16"/>
      <c r="G41" s="64"/>
      <c r="H41" s="64"/>
      <c r="I41" s="10"/>
      <c r="J41" s="10"/>
      <c r="L41" s="51"/>
      <c r="M41" s="51"/>
      <c r="N41" s="51"/>
      <c r="O41" s="53"/>
      <c r="P41" s="53"/>
      <c r="Q41" s="53"/>
      <c r="R41" s="53"/>
      <c r="S41" s="54"/>
      <c r="T41" s="53"/>
      <c r="U41" s="43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x14ac:dyDescent="0.25">
      <c r="B42" s="11"/>
      <c r="C42" s="63"/>
      <c r="D42" s="63"/>
      <c r="E42" s="16"/>
      <c r="F42" s="16"/>
      <c r="G42" s="64"/>
      <c r="H42" s="64"/>
      <c r="I42" s="10"/>
      <c r="J42" s="10"/>
      <c r="L42" s="51"/>
      <c r="M42" s="51"/>
      <c r="N42" s="51"/>
      <c r="O42" s="53"/>
      <c r="P42" s="53"/>
      <c r="Q42" s="53"/>
      <c r="R42" s="53"/>
      <c r="S42" s="54"/>
      <c r="T42" s="53"/>
      <c r="U42" s="43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x14ac:dyDescent="0.25">
      <c r="B43" s="11"/>
      <c r="C43" s="63"/>
      <c r="D43" s="63"/>
      <c r="E43" s="16"/>
      <c r="F43" s="16"/>
      <c r="G43" s="64"/>
      <c r="H43" s="64"/>
      <c r="I43" s="10"/>
      <c r="J43" s="10"/>
      <c r="L43" s="51"/>
      <c r="M43" s="51"/>
      <c r="N43" s="51"/>
      <c r="O43" s="53"/>
      <c r="P43" s="53"/>
      <c r="Q43" s="53"/>
      <c r="R43" s="53"/>
      <c r="S43" s="54"/>
      <c r="T43" s="53"/>
      <c r="U43" s="4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x14ac:dyDescent="0.25">
      <c r="B44" s="2" t="s">
        <v>16</v>
      </c>
      <c r="C44" s="2" t="s">
        <v>227</v>
      </c>
      <c r="D44" s="1"/>
      <c r="E44" s="1"/>
      <c r="F44" s="16"/>
      <c r="G44" s="64"/>
      <c r="H44" s="64"/>
      <c r="I44" s="10"/>
      <c r="J44" s="10"/>
      <c r="L44" s="51"/>
      <c r="M44" s="51"/>
      <c r="N44" s="51"/>
      <c r="O44" s="53"/>
      <c r="P44" s="53"/>
      <c r="Q44" s="53"/>
      <c r="R44" s="53"/>
      <c r="S44" s="54"/>
      <c r="T44" s="53"/>
      <c r="U44" s="43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x14ac:dyDescent="0.25">
      <c r="B45" s="11"/>
      <c r="C45" s="63"/>
      <c r="D45" s="63"/>
      <c r="E45" s="16"/>
      <c r="F45" s="16"/>
      <c r="G45" s="64"/>
      <c r="H45" s="64"/>
      <c r="I45" s="10"/>
      <c r="J45" s="10"/>
      <c r="L45" s="51"/>
      <c r="M45" s="51"/>
      <c r="N45" s="51"/>
      <c r="O45" s="53"/>
      <c r="P45" s="53"/>
      <c r="Q45" s="53"/>
      <c r="R45" s="53"/>
      <c r="S45" s="54"/>
      <c r="T45" s="53"/>
      <c r="U45" s="43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x14ac:dyDescent="0.25">
      <c r="B46" s="11" t="s">
        <v>228</v>
      </c>
      <c r="C46" s="63"/>
      <c r="D46" s="63"/>
      <c r="E46" s="16"/>
      <c r="F46" s="16"/>
      <c r="G46" s="64"/>
      <c r="H46" s="64"/>
      <c r="I46" s="10"/>
      <c r="J46" s="10"/>
      <c r="L46" s="51"/>
      <c r="M46" s="51"/>
      <c r="N46" s="51"/>
      <c r="O46" s="53"/>
      <c r="P46" s="53"/>
      <c r="Q46" s="53"/>
      <c r="R46" s="53"/>
      <c r="S46" s="54"/>
      <c r="T46" s="53"/>
      <c r="U46" s="43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5">
      <c r="B47" s="11" t="s">
        <v>229</v>
      </c>
      <c r="C47" s="63"/>
      <c r="D47" s="63"/>
      <c r="E47" s="16"/>
      <c r="F47" s="16"/>
      <c r="G47" s="64"/>
      <c r="H47" s="64"/>
      <c r="I47" s="10"/>
      <c r="J47" s="10"/>
      <c r="L47" s="51"/>
      <c r="M47" s="51"/>
      <c r="N47" s="51"/>
      <c r="O47" s="53"/>
      <c r="P47" s="53"/>
      <c r="Q47" s="53"/>
      <c r="R47" s="53"/>
      <c r="S47" s="54"/>
      <c r="T47" s="53"/>
      <c r="U47" s="43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31.5" x14ac:dyDescent="0.25">
      <c r="B48" s="24"/>
      <c r="C48" s="56"/>
      <c r="D48" s="56"/>
      <c r="E48" s="21"/>
      <c r="F48" s="21"/>
      <c r="G48" s="57"/>
      <c r="H48" s="131" t="s">
        <v>233</v>
      </c>
      <c r="I48" s="131" t="s">
        <v>234</v>
      </c>
      <c r="J48" s="71" t="s">
        <v>230</v>
      </c>
      <c r="L48" s="51"/>
      <c r="M48" s="51"/>
      <c r="N48" s="51"/>
      <c r="O48" s="53"/>
      <c r="P48" s="53"/>
      <c r="Q48" s="53"/>
      <c r="R48" s="53"/>
      <c r="S48" s="54"/>
      <c r="T48" s="53"/>
      <c r="U48" s="43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2:31" x14ac:dyDescent="0.25">
      <c r="B49" s="11" t="s">
        <v>243</v>
      </c>
      <c r="C49" s="12"/>
      <c r="D49" s="12"/>
      <c r="G49" s="13"/>
      <c r="H49" s="15">
        <v>42067</v>
      </c>
      <c r="I49" s="3">
        <v>42067</v>
      </c>
      <c r="J49" s="3">
        <f>H49-I49</f>
        <v>0</v>
      </c>
      <c r="L49" s="51"/>
      <c r="M49" s="51"/>
      <c r="N49" s="51"/>
      <c r="O49" s="53"/>
      <c r="P49" s="53"/>
      <c r="Q49" s="53"/>
      <c r="R49" s="53"/>
      <c r="S49" s="54"/>
      <c r="T49" s="53"/>
      <c r="U49" s="43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2:31" x14ac:dyDescent="0.25">
      <c r="B50" s="11" t="s">
        <v>244</v>
      </c>
      <c r="C50" s="12"/>
      <c r="D50" s="12"/>
      <c r="G50" s="13"/>
      <c r="H50" s="15">
        <f>23962+7500</f>
        <v>31462</v>
      </c>
      <c r="I50" s="3">
        <f>31462-12000</f>
        <v>19462</v>
      </c>
      <c r="J50" s="3">
        <f>H50-I50</f>
        <v>12000</v>
      </c>
      <c r="L50" s="51"/>
      <c r="M50" s="51"/>
      <c r="N50" s="51"/>
      <c r="O50" s="53"/>
      <c r="P50" s="53"/>
      <c r="Q50" s="53"/>
      <c r="R50" s="53"/>
      <c r="S50" s="54"/>
      <c r="T50" s="53"/>
      <c r="U50" s="43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2:31" x14ac:dyDescent="0.25">
      <c r="B51" s="11" t="s">
        <v>231</v>
      </c>
      <c r="C51" s="12"/>
      <c r="D51" s="12"/>
      <c r="G51" s="13"/>
      <c r="H51" s="15">
        <v>2100</v>
      </c>
      <c r="I51" s="3">
        <v>0</v>
      </c>
      <c r="J51" s="3">
        <f>H51-I51</f>
        <v>2100</v>
      </c>
      <c r="L51" s="51"/>
      <c r="M51" s="51"/>
      <c r="N51" s="51"/>
      <c r="O51" s="53"/>
      <c r="P51" s="53"/>
      <c r="Q51" s="53"/>
      <c r="R51" s="53"/>
      <c r="S51" s="54"/>
      <c r="T51" s="53"/>
      <c r="U51" s="43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2:31" x14ac:dyDescent="0.25">
      <c r="B52" s="26" t="s">
        <v>232</v>
      </c>
      <c r="C52" s="127"/>
      <c r="D52" s="127"/>
      <c r="E52" s="128"/>
      <c r="F52" s="128"/>
      <c r="G52" s="129"/>
      <c r="H52" s="130"/>
      <c r="I52" s="40"/>
      <c r="J52" s="40">
        <f>SUM(J49:J51)</f>
        <v>14100</v>
      </c>
      <c r="L52" s="51"/>
      <c r="M52" s="51"/>
      <c r="N52" s="51"/>
      <c r="O52" s="53"/>
      <c r="P52" s="53"/>
      <c r="Q52" s="53"/>
      <c r="R52" s="53"/>
      <c r="S52" s="54"/>
      <c r="T52" s="53"/>
      <c r="U52" s="43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2:31" x14ac:dyDescent="0.25">
      <c r="B53" s="36"/>
      <c r="C53" s="63"/>
      <c r="D53" s="63"/>
      <c r="E53" s="16"/>
      <c r="F53" s="16"/>
      <c r="G53" s="64"/>
      <c r="H53" s="65"/>
      <c r="I53" s="10"/>
      <c r="J53" s="10"/>
      <c r="L53" s="51"/>
      <c r="M53" s="51"/>
      <c r="N53" s="51"/>
      <c r="O53" s="53"/>
      <c r="P53" s="53"/>
      <c r="Q53" s="53"/>
      <c r="R53" s="53"/>
      <c r="S53" s="54"/>
      <c r="T53" s="53"/>
      <c r="U53" s="43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2:31" x14ac:dyDescent="0.25">
      <c r="B54" s="36"/>
      <c r="C54" s="63"/>
      <c r="D54" s="63"/>
      <c r="E54" s="16"/>
      <c r="F54" s="16"/>
      <c r="G54" s="64"/>
      <c r="H54" s="65"/>
      <c r="I54" s="10"/>
      <c r="J54" s="10"/>
      <c r="L54" s="51"/>
      <c r="M54" s="51"/>
      <c r="N54" s="51"/>
      <c r="O54" s="53"/>
      <c r="P54" s="53"/>
      <c r="Q54" s="53"/>
      <c r="R54" s="53"/>
      <c r="S54" s="54"/>
      <c r="T54" s="53"/>
      <c r="U54" s="43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2:31" x14ac:dyDescent="0.25">
      <c r="B55" s="36"/>
      <c r="C55" s="63"/>
      <c r="D55" s="63"/>
      <c r="E55" s="16"/>
      <c r="F55" s="16"/>
      <c r="G55" s="64"/>
      <c r="H55" s="65"/>
      <c r="I55" s="10"/>
      <c r="J55" s="10"/>
      <c r="L55" s="51"/>
      <c r="M55" s="51"/>
      <c r="N55" s="51"/>
      <c r="O55" s="53"/>
      <c r="P55" s="53"/>
      <c r="Q55" s="53"/>
      <c r="R55" s="53"/>
      <c r="S55" s="54"/>
      <c r="T55" s="53"/>
      <c r="U55" s="43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2:31" x14ac:dyDescent="0.25">
      <c r="B56" s="36"/>
      <c r="C56" s="63"/>
      <c r="D56" s="63"/>
      <c r="E56" s="16"/>
      <c r="F56" s="16"/>
      <c r="G56" s="64"/>
      <c r="H56" s="64"/>
      <c r="I56" s="10"/>
      <c r="J56" s="10"/>
      <c r="L56" s="51"/>
      <c r="M56" s="51"/>
      <c r="N56" s="51"/>
      <c r="O56" s="53"/>
      <c r="P56" s="53"/>
      <c r="Q56" s="53"/>
      <c r="R56" s="53"/>
      <c r="S56" s="54"/>
      <c r="T56" s="53"/>
      <c r="U56" s="43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2:31" x14ac:dyDescent="0.25">
      <c r="B57" s="2" t="s">
        <v>18</v>
      </c>
      <c r="C57" s="2" t="s">
        <v>32</v>
      </c>
      <c r="D57" s="1"/>
      <c r="E57" s="1"/>
      <c r="F57" s="1"/>
      <c r="G57" s="13"/>
      <c r="H57" s="13"/>
      <c r="I57" s="9"/>
      <c r="J57" s="13"/>
      <c r="L57" s="51"/>
      <c r="M57" s="51"/>
      <c r="N57" s="51"/>
      <c r="O57" s="53"/>
      <c r="P57" s="53"/>
      <c r="Q57" s="53"/>
      <c r="R57" s="53"/>
      <c r="S57" s="54"/>
      <c r="T57" s="53"/>
      <c r="U57" s="43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2:31" x14ac:dyDescent="0.25">
      <c r="B58" s="11"/>
      <c r="C58" s="22"/>
      <c r="D58" s="22"/>
      <c r="E58" s="1"/>
      <c r="F58" s="1"/>
      <c r="G58" s="13"/>
      <c r="H58" s="13"/>
      <c r="I58" s="9"/>
      <c r="J58" s="13"/>
      <c r="L58" s="51"/>
      <c r="M58" s="51"/>
      <c r="N58" s="51"/>
      <c r="O58" s="53"/>
      <c r="P58" s="53"/>
      <c r="Q58" s="53"/>
      <c r="R58" s="53"/>
      <c r="S58" s="54"/>
      <c r="T58" s="53"/>
      <c r="U58" s="43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2:31" ht="16.5" thickBot="1" x14ac:dyDescent="0.3">
      <c r="B59" s="14" t="s">
        <v>21</v>
      </c>
      <c r="C59" s="23"/>
      <c r="D59" s="23"/>
      <c r="E59" s="94" t="s">
        <v>37</v>
      </c>
      <c r="F59" s="23"/>
      <c r="G59" s="23"/>
      <c r="H59" s="23"/>
      <c r="I59" s="134">
        <v>2024</v>
      </c>
      <c r="J59" s="134">
        <v>2023</v>
      </c>
      <c r="L59" s="51"/>
      <c r="M59" s="51"/>
      <c r="N59" s="51"/>
      <c r="O59" s="53"/>
      <c r="P59" s="53"/>
      <c r="Q59" s="53"/>
      <c r="R59" s="53"/>
      <c r="S59" s="54"/>
      <c r="T59" s="53"/>
      <c r="U59" s="43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2:31" x14ac:dyDescent="0.25">
      <c r="B60" s="11" t="s">
        <v>221</v>
      </c>
      <c r="C60" s="22"/>
      <c r="D60" s="22"/>
      <c r="E60" s="66" t="s">
        <v>41</v>
      </c>
      <c r="F60" s="22"/>
      <c r="G60" s="22"/>
      <c r="H60" s="22"/>
      <c r="I60" s="3">
        <v>0</v>
      </c>
      <c r="J60" s="3">
        <v>50000</v>
      </c>
      <c r="L60" s="51"/>
      <c r="M60" s="51"/>
      <c r="N60" s="51"/>
      <c r="O60" s="53"/>
      <c r="P60" s="53"/>
      <c r="Q60" s="53"/>
      <c r="R60" s="53"/>
      <c r="S60" s="54"/>
      <c r="T60" s="53"/>
      <c r="U60" s="43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2:31" x14ac:dyDescent="0.25">
      <c r="B61" s="11" t="s">
        <v>42</v>
      </c>
      <c r="C61" s="22"/>
      <c r="D61" s="22"/>
      <c r="E61" s="66" t="s">
        <v>43</v>
      </c>
      <c r="F61" s="22"/>
      <c r="G61" s="22"/>
      <c r="H61" s="22"/>
      <c r="I61" s="3">
        <v>50000</v>
      </c>
      <c r="J61" s="3">
        <v>50000</v>
      </c>
      <c r="L61" s="51"/>
      <c r="M61" s="51"/>
      <c r="N61" s="51"/>
      <c r="O61" s="53"/>
      <c r="P61" s="53"/>
      <c r="Q61" s="53"/>
      <c r="R61" s="53"/>
      <c r="S61" s="54"/>
      <c r="T61" s="53"/>
      <c r="U61" s="43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2:31" x14ac:dyDescent="0.25">
      <c r="B62" s="11" t="s">
        <v>222</v>
      </c>
      <c r="C62" s="22"/>
      <c r="D62" s="22"/>
      <c r="E62" s="66" t="s">
        <v>43</v>
      </c>
      <c r="F62" s="22"/>
      <c r="G62" s="22"/>
      <c r="H62" s="22"/>
      <c r="I62" s="3">
        <v>0</v>
      </c>
      <c r="J62" s="3">
        <v>5000</v>
      </c>
      <c r="L62" s="51"/>
      <c r="M62" s="51"/>
      <c r="N62" s="51"/>
      <c r="O62" s="53"/>
      <c r="P62" s="53"/>
      <c r="Q62" s="53"/>
      <c r="R62" s="53"/>
      <c r="S62" s="54"/>
      <c r="T62" s="53"/>
      <c r="U62" s="43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2:31" x14ac:dyDescent="0.25">
      <c r="B63" s="11" t="s">
        <v>40</v>
      </c>
      <c r="C63" s="22"/>
      <c r="D63" s="22"/>
      <c r="E63" s="66" t="s">
        <v>44</v>
      </c>
      <c r="F63" s="22"/>
      <c r="G63" s="22"/>
      <c r="H63" s="22"/>
      <c r="I63" s="3">
        <v>23000</v>
      </c>
      <c r="J63" s="3">
        <v>22500</v>
      </c>
      <c r="L63" s="51"/>
      <c r="M63" s="51"/>
      <c r="N63" s="51"/>
      <c r="O63" s="53"/>
      <c r="P63" s="53"/>
      <c r="Q63" s="53"/>
      <c r="R63" s="53"/>
      <c r="S63" s="54"/>
      <c r="T63" s="53"/>
      <c r="U63" s="43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2:31" x14ac:dyDescent="0.25">
      <c r="B64" s="11" t="s">
        <v>124</v>
      </c>
      <c r="C64" s="22"/>
      <c r="D64" s="22"/>
      <c r="E64" s="66" t="s">
        <v>98</v>
      </c>
      <c r="F64" s="22"/>
      <c r="G64" s="22"/>
      <c r="H64" s="22"/>
      <c r="I64" s="3">
        <v>2750</v>
      </c>
      <c r="J64" s="3">
        <v>1000</v>
      </c>
      <c r="L64" s="51"/>
      <c r="M64" s="51"/>
      <c r="N64" s="51"/>
      <c r="O64" s="53"/>
      <c r="P64" s="53"/>
      <c r="Q64" s="53"/>
      <c r="R64" s="53"/>
      <c r="S64" s="54"/>
      <c r="T64" s="53"/>
      <c r="U64" s="43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x14ac:dyDescent="0.25">
      <c r="B65" s="24" t="s">
        <v>128</v>
      </c>
      <c r="C65" s="25"/>
      <c r="D65" s="25"/>
      <c r="E65" s="67" t="s">
        <v>98</v>
      </c>
      <c r="F65" s="25"/>
      <c r="G65" s="25"/>
      <c r="H65" s="25"/>
      <c r="I65" s="18">
        <v>1600</v>
      </c>
      <c r="J65" s="18">
        <v>1800</v>
      </c>
      <c r="L65" s="51"/>
      <c r="M65" s="51"/>
      <c r="N65" s="51"/>
      <c r="O65" s="53"/>
      <c r="P65" s="53"/>
      <c r="Q65" s="53"/>
      <c r="R65" s="53"/>
      <c r="S65" s="54"/>
      <c r="T65" s="53"/>
      <c r="U65" s="43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x14ac:dyDescent="0.25">
      <c r="B66" s="11" t="s">
        <v>127</v>
      </c>
      <c r="C66" s="22"/>
      <c r="D66" s="22"/>
      <c r="E66" s="22"/>
      <c r="F66" s="22"/>
      <c r="G66" s="22"/>
      <c r="H66" s="22"/>
      <c r="I66" s="22">
        <f>SUM(I60:I65)</f>
        <v>77350</v>
      </c>
      <c r="J66" s="22">
        <f>SUM(J60:J65)</f>
        <v>130300</v>
      </c>
      <c r="L66" s="51"/>
      <c r="M66" s="51"/>
      <c r="N66" s="51"/>
      <c r="O66" s="53"/>
      <c r="P66" s="53"/>
      <c r="Q66" s="53"/>
      <c r="R66" s="53"/>
      <c r="S66" s="54"/>
      <c r="T66" s="53"/>
      <c r="U66" s="43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x14ac:dyDescent="0.25">
      <c r="B67" s="11" t="s">
        <v>125</v>
      </c>
      <c r="C67" s="22"/>
      <c r="D67" s="22"/>
      <c r="E67" s="30"/>
      <c r="F67" s="22"/>
      <c r="G67" s="22"/>
      <c r="H67" s="22"/>
      <c r="I67" s="22"/>
      <c r="J67" s="22">
        <v>46211</v>
      </c>
      <c r="L67" s="51"/>
      <c r="M67" s="51"/>
      <c r="N67" s="51"/>
      <c r="O67" s="53"/>
      <c r="P67" s="53"/>
      <c r="Q67" s="53"/>
      <c r="R67" s="53"/>
      <c r="S67" s="54"/>
      <c r="T67" s="53"/>
      <c r="U67" s="43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x14ac:dyDescent="0.25">
      <c r="B68" s="26" t="s">
        <v>135</v>
      </c>
      <c r="C68" s="27"/>
      <c r="D68" s="27"/>
      <c r="E68" s="39"/>
      <c r="F68" s="39"/>
      <c r="G68" s="27"/>
      <c r="H68" s="27"/>
      <c r="I68" s="27">
        <f>SUM(I66:I67)</f>
        <v>77350</v>
      </c>
      <c r="J68" s="27">
        <f>SUM(J66:J67)</f>
        <v>176511</v>
      </c>
      <c r="L68" s="51"/>
      <c r="M68" s="51"/>
      <c r="N68" s="51"/>
      <c r="O68" s="53"/>
      <c r="P68" s="53"/>
      <c r="Q68" s="53"/>
      <c r="R68" s="53"/>
      <c r="S68" s="54"/>
      <c r="T68" s="53"/>
      <c r="U68" s="43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x14ac:dyDescent="0.25">
      <c r="B69" s="36"/>
      <c r="C69" s="77"/>
      <c r="D69" s="77"/>
      <c r="E69" s="78"/>
      <c r="F69" s="78"/>
      <c r="G69" s="77"/>
      <c r="H69" s="77"/>
      <c r="I69" s="77"/>
      <c r="J69" s="35"/>
      <c r="L69" s="51"/>
      <c r="M69" s="51"/>
      <c r="N69" s="51"/>
      <c r="O69" s="53"/>
      <c r="P69" s="53"/>
      <c r="Q69" s="53"/>
      <c r="R69" s="53"/>
      <c r="S69" s="54"/>
      <c r="T69" s="53"/>
      <c r="U69" s="43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6.5" thickBot="1" x14ac:dyDescent="0.3">
      <c r="B70" s="14" t="s">
        <v>39</v>
      </c>
      <c r="C70" s="23"/>
      <c r="D70" s="23"/>
      <c r="E70" s="94" t="s">
        <v>37</v>
      </c>
      <c r="F70" s="23"/>
      <c r="G70" s="28" t="s">
        <v>38</v>
      </c>
      <c r="H70" s="28" t="s">
        <v>200</v>
      </c>
      <c r="I70" s="28" t="s">
        <v>201</v>
      </c>
      <c r="J70" s="29" t="s">
        <v>136</v>
      </c>
      <c r="L70" s="51"/>
      <c r="M70" s="51"/>
      <c r="N70" s="51"/>
      <c r="O70" s="53"/>
      <c r="P70" s="53"/>
      <c r="Q70" s="53"/>
      <c r="R70" s="53"/>
      <c r="S70" s="54"/>
      <c r="T70" s="53"/>
      <c r="U70" s="43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x14ac:dyDescent="0.25">
      <c r="B71" s="11" t="s">
        <v>88</v>
      </c>
      <c r="C71" s="22"/>
      <c r="D71" s="22"/>
      <c r="E71" s="66" t="s">
        <v>223</v>
      </c>
      <c r="F71" s="22"/>
      <c r="G71" s="22">
        <v>30000</v>
      </c>
      <c r="H71" s="22">
        <v>5712</v>
      </c>
      <c r="I71" s="3">
        <v>0</v>
      </c>
      <c r="J71" s="3">
        <v>5712</v>
      </c>
      <c r="L71" s="51"/>
      <c r="M71" s="51"/>
      <c r="N71" s="51"/>
      <c r="O71" s="53"/>
      <c r="P71" s="53"/>
      <c r="Q71" s="53"/>
      <c r="R71" s="53"/>
      <c r="S71" s="54"/>
      <c r="T71" s="53"/>
      <c r="U71" s="43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x14ac:dyDescent="0.25">
      <c r="B72" s="26" t="s">
        <v>224</v>
      </c>
      <c r="C72" s="27"/>
      <c r="D72" s="27"/>
      <c r="E72" s="27"/>
      <c r="F72" s="27"/>
      <c r="G72" s="27"/>
      <c r="H72" s="27"/>
      <c r="I72" s="27">
        <f>SUM(I71:I71)</f>
        <v>0</v>
      </c>
      <c r="J72" s="27">
        <f>SUM(J71:J71)</f>
        <v>5712</v>
      </c>
      <c r="L72" s="51"/>
      <c r="M72" s="51"/>
      <c r="N72" s="51"/>
      <c r="O72" s="53"/>
      <c r="P72" s="53"/>
      <c r="Q72" s="53"/>
      <c r="R72" s="53"/>
      <c r="S72" s="54"/>
      <c r="T72" s="53"/>
      <c r="U72" s="43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s="1" customFormat="1" x14ac:dyDescent="0.25">
      <c r="A73" s="6"/>
      <c r="B73" s="11"/>
      <c r="C73" s="22"/>
      <c r="D73" s="22"/>
      <c r="E73" s="125"/>
      <c r="F73" s="125"/>
      <c r="G73" s="22"/>
      <c r="H73" s="22"/>
      <c r="I73" s="22"/>
      <c r="J73" s="126"/>
      <c r="K73" s="51"/>
      <c r="L73" s="51"/>
      <c r="M73" s="51"/>
      <c r="N73" s="53"/>
      <c r="O73" s="53"/>
      <c r="P73" s="53"/>
      <c r="Q73" s="53"/>
      <c r="R73" s="54"/>
      <c r="S73" s="53"/>
    </row>
    <row r="74" spans="1:31" s="83" customFormat="1" x14ac:dyDescent="0.25">
      <c r="B74" s="11" t="s">
        <v>246</v>
      </c>
      <c r="C74" s="84"/>
      <c r="D74" s="84"/>
      <c r="E74" s="85"/>
      <c r="F74" s="85"/>
      <c r="G74" s="84"/>
      <c r="H74" s="84"/>
      <c r="I74" s="84"/>
      <c r="J74" s="86"/>
      <c r="K74" s="87"/>
      <c r="L74" s="88"/>
      <c r="M74" s="88"/>
      <c r="N74" s="88"/>
      <c r="O74" s="89"/>
      <c r="P74" s="89"/>
      <c r="Q74" s="89"/>
      <c r="R74" s="90"/>
      <c r="S74" s="91"/>
      <c r="T74" s="92"/>
      <c r="U74" s="93"/>
      <c r="V74" s="93"/>
      <c r="W74" s="93"/>
      <c r="X74" s="93"/>
      <c r="Y74" s="93"/>
      <c r="Z74" s="93"/>
      <c r="AA74" s="93"/>
      <c r="AB74" s="93"/>
    </row>
    <row r="75" spans="1:31" s="83" customFormat="1" x14ac:dyDescent="0.25">
      <c r="B75" s="11" t="s">
        <v>245</v>
      </c>
      <c r="C75" s="84"/>
      <c r="D75" s="84"/>
      <c r="E75" s="85"/>
      <c r="F75" s="85"/>
      <c r="G75" s="84"/>
      <c r="H75" s="84"/>
      <c r="I75" s="84"/>
      <c r="J75" s="86"/>
      <c r="K75" s="87"/>
      <c r="L75" s="88"/>
      <c r="M75" s="88"/>
      <c r="N75" s="88"/>
      <c r="O75" s="89"/>
      <c r="P75" s="89"/>
      <c r="Q75" s="89"/>
      <c r="R75" s="90"/>
      <c r="S75" s="91"/>
      <c r="T75" s="92"/>
      <c r="U75" s="93"/>
      <c r="V75" s="93"/>
      <c r="W75" s="93"/>
      <c r="X75" s="93"/>
      <c r="Y75" s="93"/>
      <c r="Z75" s="93"/>
      <c r="AA75" s="93"/>
      <c r="AB75" s="93"/>
    </row>
    <row r="76" spans="1:31" s="83" customFormat="1" x14ac:dyDescent="0.25">
      <c r="B76" s="11"/>
      <c r="C76" s="84"/>
      <c r="D76" s="84"/>
      <c r="E76" s="85"/>
      <c r="F76" s="85"/>
      <c r="G76" s="84"/>
      <c r="H76" s="84"/>
      <c r="I76" s="84"/>
      <c r="J76" s="86"/>
      <c r="K76" s="87"/>
      <c r="L76" s="88"/>
      <c r="M76" s="88"/>
      <c r="N76" s="88"/>
      <c r="O76" s="89"/>
      <c r="P76" s="89"/>
      <c r="Q76" s="89"/>
      <c r="R76" s="90"/>
      <c r="S76" s="91"/>
      <c r="T76" s="92"/>
      <c r="U76" s="93"/>
      <c r="V76" s="93"/>
      <c r="W76" s="93"/>
      <c r="X76" s="93"/>
      <c r="Y76" s="93"/>
      <c r="Z76" s="93"/>
      <c r="AA76" s="93"/>
      <c r="AB76" s="93"/>
    </row>
    <row r="77" spans="1:31" s="83" customFormat="1" x14ac:dyDescent="0.25">
      <c r="B77" s="11"/>
      <c r="C77" s="84"/>
      <c r="D77" s="84"/>
      <c r="E77" s="85"/>
      <c r="F77" s="85"/>
      <c r="G77" s="84"/>
      <c r="H77" s="84"/>
      <c r="I77" s="84"/>
      <c r="J77" s="86"/>
      <c r="K77" s="87"/>
      <c r="L77" s="88"/>
      <c r="M77" s="88"/>
      <c r="N77" s="88"/>
      <c r="O77" s="89"/>
      <c r="P77" s="89"/>
      <c r="Q77" s="89"/>
      <c r="R77" s="90"/>
      <c r="S77" s="91"/>
      <c r="T77" s="92"/>
      <c r="U77" s="93"/>
      <c r="V77" s="93"/>
      <c r="W77" s="93"/>
      <c r="X77" s="93"/>
      <c r="Y77" s="93"/>
      <c r="Z77" s="93"/>
      <c r="AA77" s="93"/>
      <c r="AB77" s="93"/>
    </row>
    <row r="78" spans="1:31" x14ac:dyDescent="0.25">
      <c r="A78" s="47"/>
      <c r="B78" s="19" t="s">
        <v>19</v>
      </c>
      <c r="C78" s="20" t="s">
        <v>55</v>
      </c>
      <c r="D78" s="20"/>
      <c r="E78" s="31"/>
      <c r="F78" s="1"/>
      <c r="G78" s="1"/>
      <c r="H78" s="1"/>
      <c r="I78" s="2"/>
      <c r="J78" s="32"/>
    </row>
    <row r="79" spans="1:31" x14ac:dyDescent="0.25">
      <c r="A79" s="6"/>
      <c r="B79" s="45"/>
      <c r="C79" s="21"/>
      <c r="D79" s="21"/>
      <c r="E79" s="45"/>
      <c r="F79" s="69"/>
      <c r="G79" s="69"/>
      <c r="H79" s="69" t="s">
        <v>57</v>
      </c>
      <c r="I79" s="69" t="s">
        <v>99</v>
      </c>
      <c r="J79" s="71" t="s">
        <v>17</v>
      </c>
    </row>
    <row r="80" spans="1:31" x14ac:dyDescent="0.25">
      <c r="A80" s="6"/>
      <c r="B80" s="31" t="s">
        <v>56</v>
      </c>
      <c r="E80" s="31"/>
      <c r="F80" s="72"/>
      <c r="G80" s="72"/>
      <c r="H80" s="72">
        <f>1182828-12000</f>
        <v>1170828</v>
      </c>
      <c r="I80" s="3">
        <v>-40959</v>
      </c>
      <c r="J80" s="73">
        <f>SUM(F80:I80)</f>
        <v>1129869</v>
      </c>
    </row>
    <row r="81" spans="1:23" x14ac:dyDescent="0.25">
      <c r="A81" s="6"/>
      <c r="B81" s="1" t="s">
        <v>58</v>
      </c>
      <c r="C81" s="1"/>
      <c r="D81" s="1"/>
      <c r="E81" s="1"/>
      <c r="F81" s="74"/>
      <c r="G81" s="74"/>
      <c r="H81" s="74">
        <f>162344+675</f>
        <v>163019</v>
      </c>
      <c r="I81" s="3">
        <v>34656</v>
      </c>
      <c r="J81" s="74">
        <f>SUM(F81:I81)</f>
        <v>197675</v>
      </c>
      <c r="K81" s="55"/>
    </row>
    <row r="82" spans="1:23" x14ac:dyDescent="0.25">
      <c r="A82" s="8"/>
      <c r="B82" s="70" t="s">
        <v>59</v>
      </c>
      <c r="C82" s="34"/>
      <c r="D82" s="34"/>
      <c r="E82" s="33"/>
      <c r="F82" s="75"/>
      <c r="G82" s="75"/>
      <c r="H82" s="75">
        <f>SUM(H80:H81)</f>
        <v>1333847</v>
      </c>
      <c r="I82" s="75">
        <f>SUM(I80:I81)</f>
        <v>-6303</v>
      </c>
      <c r="J82" s="75">
        <f>SUM(J80:J81)</f>
        <v>1327544</v>
      </c>
    </row>
    <row r="83" spans="1:23" x14ac:dyDescent="0.25">
      <c r="A83" s="8"/>
      <c r="B83" s="115"/>
      <c r="E83" s="31"/>
      <c r="F83" s="116"/>
      <c r="G83" s="116"/>
      <c r="H83" s="116"/>
      <c r="I83" s="116"/>
      <c r="J83" s="116"/>
    </row>
    <row r="84" spans="1:23" x14ac:dyDescent="0.25">
      <c r="A84" s="8"/>
      <c r="B84" s="115"/>
      <c r="E84" s="31"/>
      <c r="F84" s="116"/>
      <c r="G84" s="116"/>
      <c r="H84" s="116"/>
      <c r="I84" s="116"/>
      <c r="J84" s="116"/>
    </row>
    <row r="85" spans="1:23" x14ac:dyDescent="0.25">
      <c r="B85" s="19" t="s">
        <v>20</v>
      </c>
      <c r="C85" s="20" t="s">
        <v>66</v>
      </c>
      <c r="O85" s="51"/>
      <c r="P85" s="51"/>
      <c r="Q85" s="51"/>
      <c r="R85" s="54"/>
      <c r="S85" s="53"/>
      <c r="T85" s="42"/>
      <c r="U85" s="42"/>
      <c r="V85" s="42"/>
      <c r="W85" s="42"/>
    </row>
    <row r="86" spans="1:23" x14ac:dyDescent="0.25">
      <c r="B86" s="19"/>
      <c r="C86" s="20"/>
      <c r="O86" s="51"/>
      <c r="P86" s="51"/>
      <c r="Q86" s="51"/>
      <c r="R86" s="54"/>
      <c r="S86" s="53"/>
      <c r="T86" s="42"/>
      <c r="U86" s="42"/>
      <c r="V86" s="42"/>
      <c r="W86" s="42"/>
    </row>
    <row r="87" spans="1:23" x14ac:dyDescent="0.25">
      <c r="B87" s="76" t="s">
        <v>247</v>
      </c>
      <c r="C87" s="20"/>
      <c r="O87" s="51"/>
      <c r="P87" s="51"/>
      <c r="Q87" s="51"/>
      <c r="R87" s="54"/>
      <c r="S87" s="53"/>
      <c r="T87" s="42"/>
      <c r="U87" s="42"/>
      <c r="V87" s="42"/>
      <c r="W87" s="42"/>
    </row>
    <row r="88" spans="1:23" x14ac:dyDescent="0.25">
      <c r="B88" s="76"/>
      <c r="C88" s="20"/>
      <c r="O88" s="51"/>
      <c r="P88" s="51"/>
      <c r="Q88" s="51"/>
      <c r="R88" s="54"/>
      <c r="S88" s="53"/>
      <c r="T88" s="42"/>
      <c r="U88" s="42"/>
      <c r="V88" s="42"/>
      <c r="W88" s="42"/>
    </row>
    <row r="89" spans="1:23" x14ac:dyDescent="0.25">
      <c r="B89" s="76" t="s">
        <v>65</v>
      </c>
      <c r="C89" s="20"/>
      <c r="O89" s="51"/>
      <c r="P89" s="51"/>
      <c r="Q89" s="51"/>
      <c r="R89" s="54"/>
      <c r="S89" s="53"/>
      <c r="T89" s="42"/>
      <c r="U89" s="42"/>
      <c r="V89" s="42"/>
      <c r="W89" s="42"/>
    </row>
    <row r="90" spans="1:23" x14ac:dyDescent="0.25">
      <c r="B90" s="1" t="s">
        <v>137</v>
      </c>
      <c r="L90" s="51"/>
      <c r="M90" s="51"/>
      <c r="N90" s="51"/>
      <c r="O90" s="51"/>
      <c r="P90" s="51"/>
      <c r="Q90" s="51"/>
      <c r="R90" s="54"/>
      <c r="S90" s="54"/>
      <c r="T90" s="48"/>
      <c r="U90" s="48"/>
      <c r="V90" s="48"/>
      <c r="W90" s="48"/>
    </row>
    <row r="91" spans="1:23" x14ac:dyDescent="0.25">
      <c r="B91" s="1"/>
      <c r="L91" s="51"/>
      <c r="M91" s="51"/>
      <c r="N91" s="51"/>
      <c r="O91" s="51"/>
      <c r="P91" s="51"/>
      <c r="Q91" s="51"/>
      <c r="R91" s="54"/>
      <c r="S91" s="54"/>
      <c r="T91" s="48"/>
      <c r="U91" s="48"/>
      <c r="V91" s="48"/>
      <c r="W91" s="48"/>
    </row>
    <row r="92" spans="1:23" x14ac:dyDescent="0.25">
      <c r="B92" s="1" t="s">
        <v>63</v>
      </c>
      <c r="C92" s="1"/>
      <c r="D92" s="1"/>
      <c r="E92" s="1" t="s">
        <v>70</v>
      </c>
      <c r="F92" s="1"/>
      <c r="G92" s="1"/>
      <c r="H92" s="1"/>
      <c r="I92" s="1"/>
      <c r="J92" s="1"/>
      <c r="L92" s="51"/>
      <c r="M92" s="51"/>
      <c r="N92" s="51"/>
      <c r="O92" s="51"/>
      <c r="P92" s="51"/>
      <c r="Q92" s="51"/>
      <c r="R92" s="54"/>
      <c r="S92" s="54"/>
      <c r="T92" s="48"/>
      <c r="U92" s="48"/>
      <c r="V92" s="48"/>
      <c r="W92" s="48"/>
    </row>
    <row r="93" spans="1:23" x14ac:dyDescent="0.25">
      <c r="B93" s="1" t="s">
        <v>64</v>
      </c>
      <c r="C93" s="1"/>
      <c r="D93" s="1"/>
      <c r="E93" s="1" t="s">
        <v>71</v>
      </c>
      <c r="F93" s="1"/>
      <c r="G93" s="1"/>
      <c r="H93" s="1"/>
      <c r="I93" s="1"/>
      <c r="J93" s="1"/>
      <c r="L93" s="51"/>
      <c r="M93" s="51"/>
      <c r="N93" s="51"/>
      <c r="O93" s="51"/>
      <c r="P93" s="51"/>
      <c r="Q93" s="51"/>
      <c r="R93" s="52"/>
    </row>
    <row r="94" spans="1:23" x14ac:dyDescent="0.25">
      <c r="B94" s="1" t="s">
        <v>69</v>
      </c>
      <c r="C94" s="1"/>
      <c r="D94" s="1"/>
      <c r="E94" s="1" t="s">
        <v>71</v>
      </c>
      <c r="F94" s="1"/>
      <c r="G94" s="1"/>
      <c r="H94" s="1"/>
      <c r="I94" s="1"/>
      <c r="J94" s="1"/>
      <c r="L94" s="51"/>
      <c r="M94" s="51"/>
      <c r="N94" s="51"/>
      <c r="O94" s="51"/>
      <c r="P94" s="51"/>
      <c r="Q94" s="51"/>
      <c r="R94" s="52"/>
    </row>
    <row r="95" spans="1:23" x14ac:dyDescent="0.25">
      <c r="B95" s="1" t="s">
        <v>72</v>
      </c>
      <c r="C95" s="1"/>
      <c r="D95" s="1"/>
      <c r="E95" s="1"/>
      <c r="F95" s="1"/>
      <c r="G95" s="1"/>
      <c r="H95" s="1"/>
      <c r="I95" s="1"/>
      <c r="J95" s="1"/>
      <c r="L95" s="51"/>
      <c r="M95" s="51"/>
      <c r="N95" s="51"/>
      <c r="O95" s="51"/>
      <c r="P95" s="51"/>
    </row>
    <row r="96" spans="1:23" x14ac:dyDescent="0.25">
      <c r="B96" s="1"/>
      <c r="C96" s="1"/>
      <c r="D96" s="1"/>
      <c r="E96" s="1"/>
      <c r="F96" s="1"/>
      <c r="G96" s="1"/>
      <c r="H96" s="1"/>
      <c r="I96" s="1"/>
      <c r="J96" s="1"/>
      <c r="L96" s="51"/>
      <c r="M96" s="51"/>
      <c r="N96" s="51"/>
      <c r="O96" s="51"/>
      <c r="P96" s="51"/>
    </row>
    <row r="97" spans="2:18" x14ac:dyDescent="0.25">
      <c r="B97" s="1"/>
      <c r="C97" s="1"/>
      <c r="D97" s="1"/>
      <c r="E97" s="1"/>
      <c r="F97" s="1"/>
      <c r="G97" s="1"/>
      <c r="H97" s="1"/>
      <c r="I97" s="1"/>
      <c r="J97" s="1"/>
      <c r="L97" s="51"/>
      <c r="M97" s="51"/>
      <c r="N97" s="51"/>
      <c r="O97" s="51"/>
      <c r="P97" s="51"/>
    </row>
    <row r="98" spans="2:18" x14ac:dyDescent="0.25">
      <c r="B98" s="132" t="s">
        <v>208</v>
      </c>
      <c r="C98" s="133" t="s">
        <v>209</v>
      </c>
      <c r="D98" s="38"/>
      <c r="E98" s="17"/>
      <c r="F98" s="17"/>
      <c r="G98" s="58"/>
      <c r="H98" s="58"/>
      <c r="I98" s="68">
        <v>2024</v>
      </c>
      <c r="J98" s="68">
        <v>2023</v>
      </c>
      <c r="L98" s="51"/>
      <c r="M98" s="51"/>
      <c r="N98" s="51"/>
      <c r="O98" s="51"/>
      <c r="P98" s="51"/>
    </row>
    <row r="99" spans="2:18" x14ac:dyDescent="0.25">
      <c r="B99" s="11" t="s">
        <v>210</v>
      </c>
      <c r="C99" s="12"/>
      <c r="D99" s="12"/>
      <c r="G99" s="13"/>
      <c r="H99" s="13"/>
      <c r="I99" s="3">
        <v>0</v>
      </c>
      <c r="J99" s="3">
        <v>5030</v>
      </c>
      <c r="L99" s="51"/>
      <c r="M99" s="51"/>
      <c r="N99" s="51"/>
      <c r="O99" s="51"/>
      <c r="P99" s="51"/>
    </row>
    <row r="100" spans="2:18" x14ac:dyDescent="0.25">
      <c r="B100" s="11" t="s">
        <v>225</v>
      </c>
      <c r="C100" s="12"/>
      <c r="D100" s="12"/>
      <c r="G100" s="13"/>
      <c r="H100" s="13"/>
      <c r="I100" s="3">
        <v>0</v>
      </c>
      <c r="J100" s="3">
        <v>4193</v>
      </c>
      <c r="L100" s="51"/>
      <c r="M100" s="51"/>
      <c r="N100" s="51"/>
      <c r="O100" s="51"/>
      <c r="P100" s="51"/>
    </row>
    <row r="101" spans="2:18" x14ac:dyDescent="0.25">
      <c r="B101" s="11" t="s">
        <v>212</v>
      </c>
      <c r="C101" s="12"/>
      <c r="D101" s="12"/>
      <c r="G101" s="13"/>
      <c r="H101" s="13"/>
      <c r="I101" s="3">
        <v>11683</v>
      </c>
      <c r="J101" s="3">
        <v>18337</v>
      </c>
      <c r="L101" s="51"/>
      <c r="M101" s="51"/>
      <c r="N101" s="51"/>
      <c r="O101" s="51"/>
      <c r="P101" s="51"/>
    </row>
    <row r="102" spans="2:18" x14ac:dyDescent="0.25">
      <c r="B102" s="11" t="s">
        <v>211</v>
      </c>
      <c r="C102" s="12"/>
      <c r="D102" s="12"/>
      <c r="G102" s="13"/>
      <c r="H102" s="13"/>
      <c r="I102" s="3">
        <v>674</v>
      </c>
      <c r="J102" s="3">
        <v>2790</v>
      </c>
      <c r="L102" s="51"/>
      <c r="M102" s="51"/>
      <c r="N102" s="51"/>
      <c r="O102" s="51"/>
      <c r="P102" s="51"/>
    </row>
    <row r="103" spans="2:18" x14ac:dyDescent="0.25">
      <c r="B103" s="11" t="s">
        <v>226</v>
      </c>
      <c r="C103" s="12"/>
      <c r="D103" s="12"/>
      <c r="G103" s="13"/>
      <c r="H103" s="13"/>
      <c r="I103" s="3">
        <v>4185</v>
      </c>
      <c r="J103" s="3">
        <v>11203.16</v>
      </c>
      <c r="L103" s="51"/>
      <c r="M103" s="51"/>
      <c r="N103" s="51"/>
      <c r="O103" s="51"/>
      <c r="P103" s="51"/>
    </row>
    <row r="104" spans="2:18" x14ac:dyDescent="0.25">
      <c r="B104" s="24" t="s">
        <v>213</v>
      </c>
      <c r="C104" s="56"/>
      <c r="D104" s="56"/>
      <c r="E104" s="21"/>
      <c r="F104" s="21"/>
      <c r="G104" s="57"/>
      <c r="H104" s="57"/>
      <c r="I104" s="18">
        <v>151</v>
      </c>
      <c r="J104" s="18">
        <v>1643.9</v>
      </c>
      <c r="L104" s="51"/>
      <c r="M104" s="51"/>
      <c r="N104" s="51"/>
      <c r="O104" s="51"/>
      <c r="P104" s="51"/>
    </row>
    <row r="105" spans="2:18" x14ac:dyDescent="0.25">
      <c r="B105" s="11"/>
      <c r="C105" s="12"/>
      <c r="D105" s="12"/>
      <c r="G105" s="13"/>
      <c r="H105" s="13"/>
      <c r="I105" s="3"/>
      <c r="J105" s="3"/>
      <c r="L105" s="51"/>
      <c r="M105" s="96"/>
      <c r="N105" s="1"/>
      <c r="O105" s="42"/>
      <c r="P105" s="42"/>
      <c r="Q105" s="100"/>
      <c r="R105" s="100"/>
    </row>
    <row r="106" spans="2:18" x14ac:dyDescent="0.25">
      <c r="B106" s="37" t="s">
        <v>17</v>
      </c>
      <c r="C106" s="60"/>
      <c r="D106" s="60"/>
      <c r="E106" s="61"/>
      <c r="F106" s="61"/>
      <c r="G106" s="62"/>
      <c r="H106" s="62"/>
      <c r="I106" s="59">
        <f>SUM(I99:I104)+1</f>
        <v>16694</v>
      </c>
      <c r="J106" s="59">
        <f>SUM(J99:J104)+1</f>
        <v>43198.060000000005</v>
      </c>
      <c r="L106" s="51"/>
      <c r="M106" s="96"/>
      <c r="N106" s="1"/>
      <c r="O106" s="42"/>
      <c r="P106" s="42"/>
      <c r="Q106" s="100"/>
      <c r="R106" s="100"/>
    </row>
    <row r="107" spans="2:18" x14ac:dyDescent="0.25">
      <c r="L107" s="51"/>
      <c r="M107" s="51"/>
      <c r="N107" s="51"/>
      <c r="O107" s="51"/>
      <c r="P107" s="51"/>
    </row>
    <row r="108" spans="2:18" x14ac:dyDescent="0.25">
      <c r="L108" s="51"/>
      <c r="M108" s="51"/>
      <c r="N108" s="51"/>
      <c r="O108" s="51"/>
      <c r="P108" s="51"/>
    </row>
    <row r="109" spans="2:18" x14ac:dyDescent="0.25">
      <c r="L109" s="51"/>
      <c r="M109" s="51"/>
      <c r="N109" s="51"/>
      <c r="O109" s="51"/>
      <c r="P109" s="51"/>
    </row>
    <row r="110" spans="2:18" x14ac:dyDescent="0.25">
      <c r="L110" s="51"/>
      <c r="M110" s="51"/>
      <c r="N110" s="51"/>
      <c r="O110" s="51"/>
      <c r="P110" s="51"/>
    </row>
    <row r="111" spans="2:18" x14ac:dyDescent="0.25">
      <c r="L111" s="51"/>
      <c r="M111" s="51"/>
      <c r="N111" s="51"/>
      <c r="O111" s="51"/>
      <c r="P111" s="51"/>
    </row>
    <row r="112" spans="2:18" x14ac:dyDescent="0.25">
      <c r="L112" s="51"/>
      <c r="M112" s="51"/>
      <c r="N112" s="51"/>
      <c r="O112" s="51"/>
      <c r="P112" s="51"/>
    </row>
    <row r="113" spans="12:16" x14ac:dyDescent="0.25">
      <c r="L113" s="51"/>
      <c r="M113" s="51"/>
      <c r="N113" s="51"/>
      <c r="O113" s="51"/>
      <c r="P113" s="51"/>
    </row>
    <row r="114" spans="12:16" x14ac:dyDescent="0.25">
      <c r="L114" s="51"/>
      <c r="M114" s="51"/>
      <c r="N114" s="51"/>
      <c r="O114" s="51"/>
      <c r="P114" s="51"/>
    </row>
    <row r="115" spans="12:16" x14ac:dyDescent="0.25">
      <c r="L115" s="51"/>
      <c r="M115" s="51"/>
      <c r="N115" s="51"/>
      <c r="O115" s="51"/>
      <c r="P115" s="51"/>
    </row>
    <row r="116" spans="12:16" x14ac:dyDescent="0.25">
      <c r="L116" s="51"/>
      <c r="M116" s="51"/>
      <c r="N116" s="51"/>
      <c r="O116" s="51"/>
      <c r="P116" s="51"/>
    </row>
    <row r="117" spans="12:16" x14ac:dyDescent="0.25">
      <c r="L117" s="51"/>
      <c r="M117" s="51"/>
      <c r="N117" s="51"/>
      <c r="O117" s="51"/>
      <c r="P117" s="51"/>
    </row>
    <row r="118" spans="12:16" x14ac:dyDescent="0.25">
      <c r="L118" s="51"/>
      <c r="M118" s="51"/>
      <c r="N118" s="51"/>
      <c r="O118" s="51"/>
      <c r="P118" s="51"/>
    </row>
    <row r="119" spans="12:16" x14ac:dyDescent="0.25">
      <c r="L119" s="51"/>
      <c r="M119" s="51"/>
      <c r="N119" s="51"/>
      <c r="O119" s="51"/>
      <c r="P119" s="51"/>
    </row>
    <row r="120" spans="12:16" x14ac:dyDescent="0.25">
      <c r="L120" s="51"/>
      <c r="M120" s="51"/>
      <c r="N120" s="51"/>
      <c r="O120" s="51"/>
      <c r="P120" s="51"/>
    </row>
    <row r="121" spans="12:16" x14ac:dyDescent="0.25">
      <c r="L121" s="51"/>
      <c r="M121" s="51"/>
      <c r="N121" s="51"/>
      <c r="O121" s="51"/>
      <c r="P121" s="51"/>
    </row>
    <row r="122" spans="12:16" x14ac:dyDescent="0.25">
      <c r="L122" s="51"/>
      <c r="M122" s="51"/>
      <c r="N122" s="51"/>
      <c r="O122" s="51"/>
      <c r="P122" s="51"/>
    </row>
    <row r="123" spans="12:16" x14ac:dyDescent="0.25">
      <c r="L123" s="51"/>
      <c r="M123" s="51"/>
      <c r="N123" s="51"/>
      <c r="O123" s="51"/>
      <c r="P123" s="51"/>
    </row>
    <row r="124" spans="12:16" x14ac:dyDescent="0.25">
      <c r="L124" s="51"/>
      <c r="M124" s="51"/>
      <c r="N124" s="51"/>
      <c r="O124" s="51"/>
      <c r="P124" s="51"/>
    </row>
    <row r="125" spans="12:16" x14ac:dyDescent="0.25">
      <c r="L125" s="51"/>
      <c r="M125" s="51"/>
      <c r="N125" s="51"/>
      <c r="O125" s="51"/>
      <c r="P125" s="51"/>
    </row>
    <row r="126" spans="12:16" x14ac:dyDescent="0.25">
      <c r="L126" s="51"/>
      <c r="M126" s="51"/>
      <c r="N126" s="51"/>
      <c r="O126" s="51"/>
      <c r="P126" s="51"/>
    </row>
    <row r="127" spans="12:16" x14ac:dyDescent="0.25">
      <c r="L127" s="51"/>
      <c r="M127" s="51"/>
      <c r="N127" s="51"/>
      <c r="O127" s="51"/>
      <c r="P127" s="51"/>
    </row>
    <row r="128" spans="12:16" x14ac:dyDescent="0.25">
      <c r="L128" s="51"/>
      <c r="M128" s="51"/>
      <c r="N128" s="51"/>
      <c r="O128" s="51"/>
      <c r="P128" s="51"/>
    </row>
    <row r="129" spans="12:16" x14ac:dyDescent="0.25">
      <c r="L129" s="51"/>
      <c r="M129" s="51"/>
      <c r="N129" s="51"/>
      <c r="O129" s="51"/>
      <c r="P129" s="51"/>
    </row>
    <row r="130" spans="12:16" x14ac:dyDescent="0.25">
      <c r="L130" s="51"/>
      <c r="M130" s="51"/>
      <c r="N130" s="51"/>
      <c r="O130" s="51"/>
      <c r="P130" s="51"/>
    </row>
    <row r="131" spans="12:16" x14ac:dyDescent="0.25">
      <c r="L131" s="51"/>
      <c r="M131" s="51"/>
      <c r="N131" s="51"/>
      <c r="O131" s="51"/>
      <c r="P131" s="51"/>
    </row>
    <row r="132" spans="12:16" x14ac:dyDescent="0.25">
      <c r="L132" s="51"/>
      <c r="M132" s="51"/>
      <c r="N132" s="51"/>
      <c r="O132" s="51"/>
      <c r="P132" s="51"/>
    </row>
    <row r="133" spans="12:16" x14ac:dyDescent="0.25">
      <c r="L133" s="51"/>
      <c r="M133" s="51"/>
      <c r="N133" s="51"/>
      <c r="O133" s="51"/>
      <c r="P133" s="51"/>
    </row>
    <row r="134" spans="12:16" x14ac:dyDescent="0.25">
      <c r="L134" s="51"/>
      <c r="M134" s="51"/>
      <c r="N134" s="51"/>
      <c r="O134" s="51"/>
      <c r="P134" s="51"/>
    </row>
    <row r="135" spans="12:16" x14ac:dyDescent="0.25">
      <c r="L135" s="51"/>
      <c r="M135" s="51"/>
      <c r="N135" s="51"/>
      <c r="O135" s="51"/>
      <c r="P135" s="51"/>
    </row>
    <row r="136" spans="12:16" x14ac:dyDescent="0.25">
      <c r="L136" s="51"/>
      <c r="M136" s="51"/>
      <c r="N136" s="51"/>
      <c r="O136" s="51"/>
      <c r="P136" s="51"/>
    </row>
    <row r="137" spans="12:16" x14ac:dyDescent="0.25">
      <c r="L137" s="51"/>
      <c r="M137" s="51"/>
      <c r="N137" s="51"/>
      <c r="O137" s="51"/>
      <c r="P137" s="51"/>
    </row>
    <row r="138" spans="12:16" x14ac:dyDescent="0.25">
      <c r="L138" s="51"/>
      <c r="M138" s="51"/>
      <c r="N138" s="51"/>
      <c r="O138" s="51"/>
      <c r="P138" s="51"/>
    </row>
    <row r="139" spans="12:16" x14ac:dyDescent="0.25">
      <c r="L139" s="51"/>
      <c r="M139" s="51"/>
      <c r="N139" s="51"/>
      <c r="O139" s="51"/>
      <c r="P139" s="51"/>
    </row>
    <row r="140" spans="12:16" x14ac:dyDescent="0.25">
      <c r="L140" s="51"/>
      <c r="M140" s="51"/>
      <c r="N140" s="51"/>
      <c r="O140" s="51"/>
      <c r="P140" s="51"/>
    </row>
    <row r="141" spans="12:16" x14ac:dyDescent="0.25">
      <c r="L141" s="51"/>
      <c r="M141" s="51"/>
      <c r="N141" s="51"/>
      <c r="O141" s="51"/>
      <c r="P141" s="51"/>
    </row>
    <row r="142" spans="12:16" x14ac:dyDescent="0.25">
      <c r="L142" s="51"/>
      <c r="M142" s="51"/>
      <c r="N142" s="51"/>
      <c r="O142" s="51"/>
      <c r="P142" s="51"/>
    </row>
    <row r="143" spans="12:16" x14ac:dyDescent="0.25">
      <c r="L143" s="51"/>
      <c r="M143" s="51"/>
      <c r="N143" s="51"/>
      <c r="O143" s="51"/>
      <c r="P143" s="51"/>
    </row>
    <row r="144" spans="12:16" x14ac:dyDescent="0.25">
      <c r="L144" s="51"/>
      <c r="M144" s="51"/>
      <c r="N144" s="51"/>
      <c r="O144" s="51"/>
      <c r="P144" s="51"/>
    </row>
    <row r="145" spans="12:16" x14ac:dyDescent="0.25">
      <c r="L145" s="51"/>
      <c r="M145" s="51"/>
      <c r="N145" s="51"/>
      <c r="O145" s="51"/>
      <c r="P145" s="51"/>
    </row>
    <row r="146" spans="12:16" x14ac:dyDescent="0.25">
      <c r="L146" s="51"/>
      <c r="M146" s="51"/>
      <c r="N146" s="51"/>
      <c r="O146" s="51"/>
      <c r="P146" s="51"/>
    </row>
    <row r="147" spans="12:16" x14ac:dyDescent="0.25">
      <c r="L147" s="51"/>
      <c r="M147" s="51"/>
      <c r="N147" s="51"/>
      <c r="O147" s="51"/>
      <c r="P147" s="51"/>
    </row>
    <row r="148" spans="12:16" x14ac:dyDescent="0.25">
      <c r="L148" s="51"/>
      <c r="M148" s="51"/>
      <c r="N148" s="51"/>
      <c r="O148" s="51"/>
      <c r="P148" s="51"/>
    </row>
    <row r="149" spans="12:16" x14ac:dyDescent="0.25">
      <c r="L149" s="51"/>
      <c r="M149" s="51"/>
      <c r="N149" s="51"/>
      <c r="O149" s="51"/>
      <c r="P149" s="51"/>
    </row>
    <row r="150" spans="12:16" x14ac:dyDescent="0.25">
      <c r="L150" s="51"/>
      <c r="M150" s="51"/>
      <c r="N150" s="51"/>
      <c r="O150" s="51"/>
      <c r="P150" s="51"/>
    </row>
    <row r="151" spans="12:16" x14ac:dyDescent="0.25">
      <c r="L151" s="51"/>
      <c r="M151" s="51"/>
      <c r="N151" s="51"/>
      <c r="O151" s="51"/>
      <c r="P151" s="51"/>
    </row>
    <row r="152" spans="12:16" x14ac:dyDescent="0.25">
      <c r="L152" s="51"/>
      <c r="M152" s="51"/>
      <c r="N152" s="51"/>
      <c r="O152" s="51"/>
      <c r="P152" s="51"/>
    </row>
    <row r="153" spans="12:16" x14ac:dyDescent="0.25">
      <c r="L153" s="51"/>
      <c r="M153" s="51"/>
      <c r="N153" s="51"/>
      <c r="O153" s="51"/>
      <c r="P153" s="51"/>
    </row>
    <row r="154" spans="12:16" x14ac:dyDescent="0.25">
      <c r="L154" s="51"/>
      <c r="M154" s="51"/>
      <c r="N154" s="51"/>
      <c r="O154" s="51"/>
      <c r="P154" s="51"/>
    </row>
    <row r="155" spans="12:16" x14ac:dyDescent="0.25">
      <c r="L155" s="51"/>
      <c r="M155" s="51"/>
      <c r="N155" s="51"/>
      <c r="O155" s="51"/>
      <c r="P155" s="51"/>
    </row>
    <row r="156" spans="12:16" x14ac:dyDescent="0.25">
      <c r="L156" s="51"/>
      <c r="M156" s="51"/>
      <c r="N156" s="51"/>
      <c r="O156" s="51"/>
      <c r="P156" s="51"/>
    </row>
    <row r="157" spans="12:16" x14ac:dyDescent="0.25">
      <c r="L157" s="51"/>
      <c r="M157" s="51"/>
      <c r="N157" s="51"/>
      <c r="O157" s="51"/>
      <c r="P157" s="51"/>
    </row>
    <row r="158" spans="12:16" x14ac:dyDescent="0.25">
      <c r="L158" s="51"/>
      <c r="M158" s="51"/>
      <c r="N158" s="51"/>
      <c r="O158" s="51"/>
      <c r="P158" s="51"/>
    </row>
    <row r="159" spans="12:16" x14ac:dyDescent="0.25">
      <c r="L159" s="51"/>
      <c r="M159" s="51"/>
      <c r="N159" s="51"/>
      <c r="O159" s="51"/>
    </row>
    <row r="160" spans="12:16" x14ac:dyDescent="0.25">
      <c r="L160" s="51"/>
      <c r="M160" s="51"/>
      <c r="N160" s="51"/>
      <c r="O160" s="51"/>
    </row>
    <row r="161" spans="12:15" x14ac:dyDescent="0.25">
      <c r="L161" s="51"/>
      <c r="M161" s="51"/>
      <c r="N161" s="51"/>
      <c r="O161" s="51"/>
    </row>
    <row r="162" spans="12:15" x14ac:dyDescent="0.25">
      <c r="L162" s="51"/>
      <c r="M162" s="51"/>
      <c r="N162" s="51"/>
      <c r="O162" s="51"/>
    </row>
    <row r="163" spans="12:15" x14ac:dyDescent="0.25">
      <c r="L163" s="51"/>
      <c r="M163" s="51"/>
      <c r="N163" s="51"/>
      <c r="O163" s="51"/>
    </row>
    <row r="164" spans="12:15" x14ac:dyDescent="0.25">
      <c r="L164" s="51"/>
      <c r="M164" s="51"/>
      <c r="N164" s="51"/>
      <c r="O164" s="51"/>
    </row>
    <row r="165" spans="12:15" x14ac:dyDescent="0.25">
      <c r="L165" s="51"/>
      <c r="M165" s="51"/>
      <c r="N165" s="51"/>
      <c r="O165" s="51"/>
    </row>
    <row r="166" spans="12:15" x14ac:dyDescent="0.25">
      <c r="L166" s="51"/>
      <c r="M166" s="51"/>
      <c r="N166" s="51"/>
      <c r="O166" s="51"/>
    </row>
    <row r="167" spans="12:15" x14ac:dyDescent="0.25">
      <c r="L167" s="51"/>
      <c r="M167" s="51"/>
      <c r="N167" s="51"/>
      <c r="O167" s="51"/>
    </row>
    <row r="168" spans="12:15" x14ac:dyDescent="0.25">
      <c r="L168" s="51"/>
      <c r="M168" s="51"/>
      <c r="N168" s="51"/>
      <c r="O168" s="51"/>
    </row>
    <row r="169" spans="12:15" x14ac:dyDescent="0.25">
      <c r="L169" s="51"/>
      <c r="M169" s="51"/>
      <c r="N169" s="51"/>
      <c r="O169" s="51"/>
    </row>
    <row r="170" spans="12:15" x14ac:dyDescent="0.25">
      <c r="L170" s="51"/>
      <c r="M170" s="51"/>
      <c r="N170" s="51"/>
      <c r="O170" s="51"/>
    </row>
    <row r="171" spans="12:15" x14ac:dyDescent="0.25">
      <c r="O171" s="51"/>
    </row>
    <row r="172" spans="12:15" x14ac:dyDescent="0.25">
      <c r="O172" s="51"/>
    </row>
    <row r="173" spans="12:15" x14ac:dyDescent="0.25">
      <c r="O173" s="51"/>
    </row>
  </sheetData>
  <mergeCells count="2">
    <mergeCell ref="B1:J1"/>
    <mergeCell ref="B3:J3"/>
  </mergeCells>
  <phoneticPr fontId="4" type="noConversion"/>
  <pageMargins left="0.7" right="0.7" top="0.75" bottom="0.75" header="0.3" footer="0.3"/>
  <pageSetup paperSize="9" scale="78" fitToHeight="0" orientation="portrait" horizontalDpi="4294967293" r:id="rId1"/>
  <headerFooter alignWithMargins="0"/>
  <rowBreaks count="1" manualBreakCount="1">
    <brk id="5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2</xdr:row>
                    <xdr:rowOff>247650</xdr:rowOff>
                  </from>
                  <to>
                    <xdr:col>0</xdr:col>
                    <xdr:colOff>228600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77</xdr:row>
                    <xdr:rowOff>0</xdr:rowOff>
                  </from>
                  <to>
                    <xdr:col>0</xdr:col>
                    <xdr:colOff>219075</xdr:colOff>
                    <xdr:row>77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77</xdr:row>
                    <xdr:rowOff>0</xdr:rowOff>
                  </from>
                  <to>
                    <xdr:col>0</xdr:col>
                    <xdr:colOff>219075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77</xdr:row>
                    <xdr:rowOff>0</xdr:rowOff>
                  </from>
                  <to>
                    <xdr:col>0</xdr:col>
                    <xdr:colOff>219075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17">
              <controlPr defaultSize="0" autoFill="0" autoLine="0" autoPict="0">
                <anchor moveWithCells="1">
                  <from>
                    <xdr:col>0</xdr:col>
                    <xdr:colOff>0</xdr:colOff>
                    <xdr:row>77</xdr:row>
                    <xdr:rowOff>0</xdr:rowOff>
                  </from>
                  <to>
                    <xdr:col>0</xdr:col>
                    <xdr:colOff>219075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Button 8">
              <controlPr defaultSize="0" print="0" autoFill="0" autoPict="0">
                <anchor moveWithCells="1" sizeWithCells="1">
                  <from>
                    <xdr:col>6</xdr:col>
                    <xdr:colOff>180975</xdr:colOff>
                    <xdr:row>0</xdr:row>
                    <xdr:rowOff>0</xdr:rowOff>
                  </from>
                  <to>
                    <xdr:col>6</xdr:col>
                    <xdr:colOff>1019175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Button 9">
              <controlPr defaultSize="0" print="0" autoFill="0" autoPict="0">
                <anchor moveWithCells="1" sizeWithCells="1">
                  <from>
                    <xdr:col>6</xdr:col>
                    <xdr:colOff>180975</xdr:colOff>
                    <xdr:row>0</xdr:row>
                    <xdr:rowOff>0</xdr:rowOff>
                  </from>
                  <to>
                    <xdr:col>6</xdr:col>
                    <xdr:colOff>1019175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1" name="Check Box 26">
              <controlPr defaultSize="0" autoFill="0" autoLine="0" autoPict="0">
                <anchor moveWithCells="1">
                  <from>
                    <xdr:col>0</xdr:col>
                    <xdr:colOff>19050</xdr:colOff>
                    <xdr:row>2</xdr:row>
                    <xdr:rowOff>247650</xdr:rowOff>
                  </from>
                  <to>
                    <xdr:col>0</xdr:col>
                    <xdr:colOff>228600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2" name="Check Box 27">
              <controlPr defaultSize="0" autoFill="0" autoLine="0" autoPict="0">
                <anchor moveWithCells="1">
                  <from>
                    <xdr:col>0</xdr:col>
                    <xdr:colOff>0</xdr:colOff>
                    <xdr:row>77</xdr:row>
                    <xdr:rowOff>0</xdr:rowOff>
                  </from>
                  <to>
                    <xdr:col>0</xdr:col>
                    <xdr:colOff>219075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3" name="Check Box 29">
              <controlPr defaultSize="0" autoFill="0" autoLine="0" autoPict="0">
                <anchor moveWithCells="1">
                  <from>
                    <xdr:col>0</xdr:col>
                    <xdr:colOff>0</xdr:colOff>
                    <xdr:row>77</xdr:row>
                    <xdr:rowOff>0</xdr:rowOff>
                  </from>
                  <to>
                    <xdr:col>0</xdr:col>
                    <xdr:colOff>219075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4" name="Check Box 30">
              <controlPr defaultSize="0" autoFill="0" autoLine="0" autoPict="0">
                <anchor moveWithCells="1">
                  <from>
                    <xdr:col>0</xdr:col>
                    <xdr:colOff>0</xdr:colOff>
                    <xdr:row>77</xdr:row>
                    <xdr:rowOff>0</xdr:rowOff>
                  </from>
                  <to>
                    <xdr:col>0</xdr:col>
                    <xdr:colOff>219075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5" name="Button 32">
              <controlPr defaultSize="0" print="0" autoFill="0" autoPict="0">
                <anchor moveWithCells="1" sizeWithCells="1">
                  <from>
                    <xdr:col>6</xdr:col>
                    <xdr:colOff>180975</xdr:colOff>
                    <xdr:row>0</xdr:row>
                    <xdr:rowOff>0</xdr:rowOff>
                  </from>
                  <to>
                    <xdr:col>6</xdr:col>
                    <xdr:colOff>1019175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6" name="Button 33">
              <controlPr defaultSize="0" print="0" autoFill="0" autoPict="0">
                <anchor moveWithCells="1" sizeWithCells="1">
                  <from>
                    <xdr:col>6</xdr:col>
                    <xdr:colOff>180975</xdr:colOff>
                    <xdr:row>0</xdr:row>
                    <xdr:rowOff>0</xdr:rowOff>
                  </from>
                  <to>
                    <xdr:col>6</xdr:col>
                    <xdr:colOff>1019175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9F616-37DD-42B2-936D-54B392AA3C9E}">
  <sheetPr>
    <pageSetUpPr fitToPage="1"/>
  </sheetPr>
  <dimension ref="A1:AC232"/>
  <sheetViews>
    <sheetView topLeftCell="A37" zoomScaleNormal="100" workbookViewId="0">
      <selection activeCell="G43" sqref="G43"/>
    </sheetView>
  </sheetViews>
  <sheetFormatPr baseColWidth="10" defaultColWidth="10.5703125" defaultRowHeight="15.75" x14ac:dyDescent="0.25"/>
  <cols>
    <col min="1" max="1" width="6.7109375" style="96" customWidth="1"/>
    <col min="2" max="2" width="52.5703125" style="1" customWidth="1"/>
    <col min="3" max="4" width="15.5703125" style="1" customWidth="1"/>
    <col min="5" max="7" width="13.42578125" style="100" customWidth="1"/>
    <col min="8" max="8" width="14.5703125" style="42" customWidth="1"/>
    <col min="9" max="13" width="10.7109375" style="42" customWidth="1"/>
    <col min="14" max="14" width="14.5703125" style="42" hidden="1" customWidth="1"/>
    <col min="15" max="15" width="13.28515625" style="42" customWidth="1"/>
    <col min="16" max="16" width="10.7109375" style="42" customWidth="1"/>
    <col min="17" max="17" width="12.42578125" style="42" customWidth="1"/>
    <col min="18" max="18" width="13.28515625" style="1" customWidth="1"/>
    <col min="19" max="19" width="10.7109375" style="1" customWidth="1"/>
    <col min="20" max="20" width="11.7109375" style="1" customWidth="1"/>
    <col min="21" max="21" width="13.28515625" style="1" customWidth="1"/>
    <col min="22" max="22" width="11.7109375" style="1" customWidth="1"/>
    <col min="23" max="23" width="13.28515625" style="1" customWidth="1"/>
    <col min="24" max="24" width="11.7109375" style="1" customWidth="1"/>
    <col min="25" max="25" width="13.28515625" style="1" customWidth="1"/>
    <col min="26" max="28" width="10.5703125" style="1" customWidth="1"/>
    <col min="29" max="29" width="10.5703125" style="3"/>
    <col min="30" max="16384" width="10.5703125" style="1"/>
  </cols>
  <sheetData>
    <row r="1" spans="1:29" x14ac:dyDescent="0.25">
      <c r="C1" s="1">
        <v>2020</v>
      </c>
      <c r="D1" s="1">
        <v>2021</v>
      </c>
      <c r="E1" s="97">
        <v>2022</v>
      </c>
      <c r="F1" s="97">
        <v>2023</v>
      </c>
      <c r="G1" s="97">
        <v>2024</v>
      </c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9"/>
    </row>
    <row r="2" spans="1:29" x14ac:dyDescent="0.25">
      <c r="E2" s="97"/>
      <c r="F2" s="97"/>
      <c r="G2" s="97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9"/>
    </row>
    <row r="3" spans="1:29" x14ac:dyDescent="0.25">
      <c r="A3" s="96">
        <v>3630</v>
      </c>
      <c r="B3" s="1" t="s">
        <v>152</v>
      </c>
      <c r="C3" s="42">
        <v>-77500</v>
      </c>
      <c r="D3" s="42">
        <v>-60000</v>
      </c>
      <c r="E3" s="100">
        <v>-78500</v>
      </c>
      <c r="F3" s="100">
        <v>-74600</v>
      </c>
      <c r="G3" s="100">
        <v>-80650</v>
      </c>
      <c r="R3" s="42"/>
      <c r="S3" s="42"/>
      <c r="T3" s="42"/>
      <c r="U3" s="42"/>
      <c r="V3" s="42"/>
      <c r="W3" s="42"/>
      <c r="X3" s="42"/>
      <c r="Y3" s="42"/>
    </row>
    <row r="4" spans="1:29" s="102" customFormat="1" x14ac:dyDescent="0.25">
      <c r="A4" s="107" t="s">
        <v>80</v>
      </c>
      <c r="C4" s="103">
        <f t="shared" ref="C4:D4" si="0">SUM(C3)</f>
        <v>-77500</v>
      </c>
      <c r="D4" s="103">
        <f t="shared" si="0"/>
        <v>-60000</v>
      </c>
      <c r="E4" s="103">
        <f>SUM(E3)</f>
        <v>-78500</v>
      </c>
      <c r="F4" s="103">
        <v>-74600</v>
      </c>
      <c r="G4" s="103">
        <f>SUM(G3)</f>
        <v>-80650</v>
      </c>
      <c r="H4" s="104"/>
      <c r="I4" s="104"/>
      <c r="J4" s="104"/>
      <c r="K4" s="104"/>
      <c r="L4" s="104"/>
      <c r="M4" s="104"/>
      <c r="N4" s="104"/>
      <c r="O4" s="104"/>
      <c r="P4" s="104"/>
      <c r="Q4" s="104"/>
      <c r="AC4" s="112"/>
    </row>
    <row r="6" spans="1:29" x14ac:dyDescent="0.25">
      <c r="A6" s="96">
        <v>3610</v>
      </c>
      <c r="B6" s="1" t="s">
        <v>153</v>
      </c>
      <c r="C6" s="42">
        <v>-5600</v>
      </c>
      <c r="D6" s="42">
        <v>-9000</v>
      </c>
      <c r="E6" s="100">
        <v>-11393</v>
      </c>
      <c r="F6" s="100">
        <v>-12400</v>
      </c>
      <c r="G6" s="100">
        <v>-12000</v>
      </c>
      <c r="R6" s="42"/>
      <c r="S6" s="42"/>
      <c r="T6" s="42"/>
      <c r="U6" s="42"/>
      <c r="V6" s="42"/>
      <c r="W6" s="42"/>
      <c r="X6" s="42"/>
      <c r="Y6" s="42"/>
    </row>
    <row r="7" spans="1:29" s="102" customFormat="1" x14ac:dyDescent="0.25">
      <c r="A7" s="107" t="s">
        <v>81</v>
      </c>
      <c r="C7" s="103">
        <f t="shared" ref="C7:D7" si="1">SUM(C6)</f>
        <v>-5600</v>
      </c>
      <c r="D7" s="103">
        <f t="shared" si="1"/>
        <v>-9000</v>
      </c>
      <c r="E7" s="103">
        <f>SUM(E6)</f>
        <v>-11393</v>
      </c>
      <c r="F7" s="103">
        <v>-12400</v>
      </c>
      <c r="G7" s="103">
        <f>SUM(G6)</f>
        <v>-12000</v>
      </c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AC7" s="112"/>
    </row>
    <row r="8" spans="1:29" x14ac:dyDescent="0.25">
      <c r="C8" s="42"/>
      <c r="D8" s="42"/>
      <c r="R8" s="42"/>
      <c r="S8" s="42"/>
      <c r="T8" s="42"/>
      <c r="U8" s="42"/>
      <c r="V8" s="42"/>
      <c r="W8" s="42"/>
      <c r="X8" s="42"/>
      <c r="Y8" s="42"/>
    </row>
    <row r="9" spans="1:29" x14ac:dyDescent="0.25">
      <c r="A9" s="96">
        <v>3103</v>
      </c>
      <c r="B9" s="1" t="s">
        <v>141</v>
      </c>
      <c r="C9" s="42">
        <v>-40915</v>
      </c>
      <c r="D9" s="42">
        <v>-40275</v>
      </c>
      <c r="E9" s="100">
        <v>-32525</v>
      </c>
      <c r="F9" s="100">
        <v>-18288</v>
      </c>
      <c r="G9" s="100">
        <v>-24875</v>
      </c>
      <c r="R9" s="42"/>
      <c r="S9" s="42"/>
      <c r="T9" s="42"/>
      <c r="U9" s="42"/>
      <c r="V9" s="42"/>
      <c r="W9" s="42"/>
      <c r="X9" s="42"/>
      <c r="Y9" s="42"/>
    </row>
    <row r="10" spans="1:29" s="102" customFormat="1" x14ac:dyDescent="0.25">
      <c r="A10" s="107" t="s">
        <v>82</v>
      </c>
      <c r="C10" s="103">
        <f t="shared" ref="C10:D10" si="2">SUM(C9)</f>
        <v>-40915</v>
      </c>
      <c r="D10" s="103">
        <f t="shared" si="2"/>
        <v>-40275</v>
      </c>
      <c r="E10" s="103">
        <f>SUM(E9)</f>
        <v>-32525</v>
      </c>
      <c r="F10" s="103">
        <v>-18288</v>
      </c>
      <c r="G10" s="103">
        <f>SUM(G9)</f>
        <v>-24875</v>
      </c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AC10" s="112"/>
    </row>
    <row r="11" spans="1:29" x14ac:dyDescent="0.25">
      <c r="C11" s="42"/>
      <c r="D11" s="42"/>
      <c r="R11" s="42"/>
      <c r="S11" s="42"/>
      <c r="T11" s="42"/>
      <c r="U11" s="42"/>
      <c r="V11" s="42"/>
      <c r="W11" s="42"/>
      <c r="X11" s="42"/>
      <c r="Y11" s="42"/>
    </row>
    <row r="12" spans="1:29" x14ac:dyDescent="0.25">
      <c r="A12" s="96">
        <v>3104</v>
      </c>
      <c r="B12" s="1" t="s">
        <v>142</v>
      </c>
      <c r="C12" s="42"/>
      <c r="D12" s="42">
        <v>-1397.6</v>
      </c>
      <c r="E12" s="100">
        <v>-4827.8999999999996</v>
      </c>
      <c r="F12" s="100">
        <v>-1953.04</v>
      </c>
      <c r="R12" s="42"/>
      <c r="S12" s="42"/>
      <c r="T12" s="42"/>
      <c r="U12" s="42"/>
      <c r="V12" s="42"/>
      <c r="W12" s="42"/>
      <c r="X12" s="42"/>
      <c r="Y12" s="42"/>
    </row>
    <row r="13" spans="1:29" x14ac:dyDescent="0.25">
      <c r="A13" s="96">
        <v>3108</v>
      </c>
      <c r="B13" s="1" t="s">
        <v>237</v>
      </c>
      <c r="C13" s="42"/>
      <c r="D13" s="42"/>
      <c r="G13" s="100">
        <v>-675</v>
      </c>
      <c r="R13" s="42"/>
      <c r="S13" s="42"/>
      <c r="T13" s="42"/>
      <c r="U13" s="42"/>
      <c r="V13" s="42"/>
      <c r="W13" s="42"/>
      <c r="X13" s="42"/>
      <c r="Y13" s="42"/>
    </row>
    <row r="14" spans="1:29" s="102" customFormat="1" x14ac:dyDescent="0.25">
      <c r="A14" s="107" t="s">
        <v>83</v>
      </c>
      <c r="C14" s="103">
        <f t="shared" ref="C14:D14" si="3">SUM(C12)</f>
        <v>0</v>
      </c>
      <c r="D14" s="103">
        <f t="shared" si="3"/>
        <v>-1397.6</v>
      </c>
      <c r="E14" s="103">
        <f>SUM(E12)</f>
        <v>-4827.8999999999996</v>
      </c>
      <c r="F14" s="103">
        <v>-1953.04</v>
      </c>
      <c r="G14" s="103">
        <f>SUM(G12:G13)</f>
        <v>-675</v>
      </c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AC14" s="112"/>
    </row>
    <row r="15" spans="1:29" x14ac:dyDescent="0.25">
      <c r="C15" s="42"/>
      <c r="D15" s="42"/>
      <c r="R15" s="42"/>
      <c r="S15" s="42"/>
      <c r="T15" s="42"/>
      <c r="U15" s="42"/>
      <c r="V15" s="42"/>
      <c r="W15" s="42"/>
      <c r="X15" s="42"/>
      <c r="Y15" s="42"/>
    </row>
    <row r="16" spans="1:29" x14ac:dyDescent="0.25">
      <c r="A16" s="96">
        <v>3143</v>
      </c>
      <c r="B16" s="1" t="s">
        <v>151</v>
      </c>
      <c r="C16" s="42">
        <v>-28007</v>
      </c>
      <c r="D16" s="42">
        <v>-29216</v>
      </c>
      <c r="E16" s="100">
        <v>-29620</v>
      </c>
      <c r="F16" s="100">
        <v>-22850</v>
      </c>
      <c r="G16" s="100">
        <v>-13506</v>
      </c>
      <c r="R16" s="42"/>
      <c r="S16" s="42"/>
      <c r="T16" s="42"/>
      <c r="U16" s="42"/>
      <c r="V16" s="42"/>
      <c r="W16" s="42"/>
      <c r="X16" s="42"/>
      <c r="Y16" s="42"/>
    </row>
    <row r="17" spans="1:29" s="102" customFormat="1" x14ac:dyDescent="0.25">
      <c r="A17" s="102" t="s">
        <v>84</v>
      </c>
      <c r="C17" s="103">
        <f t="shared" ref="C17:D17" si="4">SUM(C16)</f>
        <v>-28007</v>
      </c>
      <c r="D17" s="103">
        <f t="shared" si="4"/>
        <v>-29216</v>
      </c>
      <c r="E17" s="103">
        <f>SUM(E16)</f>
        <v>-29620</v>
      </c>
      <c r="F17" s="103">
        <v>-22850</v>
      </c>
      <c r="G17" s="103">
        <f>SUM(G16)</f>
        <v>-13506</v>
      </c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AC17" s="112"/>
    </row>
    <row r="18" spans="1:29" x14ac:dyDescent="0.25">
      <c r="C18" s="42"/>
      <c r="D18" s="42"/>
      <c r="R18" s="42"/>
      <c r="S18" s="42"/>
      <c r="T18" s="42"/>
      <c r="U18" s="42"/>
      <c r="V18" s="42"/>
      <c r="W18" s="42"/>
      <c r="X18" s="42"/>
      <c r="Y18" s="42"/>
    </row>
    <row r="19" spans="1:29" x14ac:dyDescent="0.25">
      <c r="A19" s="96">
        <v>3144</v>
      </c>
      <c r="B19" s="1" t="s">
        <v>67</v>
      </c>
      <c r="C19" s="42">
        <v>-35004</v>
      </c>
      <c r="D19" s="42">
        <v>-24835</v>
      </c>
      <c r="E19" s="100">
        <v>-32709</v>
      </c>
      <c r="F19" s="100">
        <v>-29978</v>
      </c>
      <c r="G19" s="100">
        <v>-31920</v>
      </c>
      <c r="R19" s="42"/>
      <c r="S19" s="42"/>
      <c r="T19" s="42"/>
      <c r="U19" s="42"/>
      <c r="V19" s="42"/>
      <c r="W19" s="42"/>
      <c r="X19" s="42"/>
      <c r="Y19" s="42"/>
    </row>
    <row r="20" spans="1:29" s="102" customFormat="1" x14ac:dyDescent="0.25">
      <c r="A20" s="102" t="s">
        <v>67</v>
      </c>
      <c r="C20" s="103">
        <f t="shared" ref="C20:D20" si="5">SUM(C19)</f>
        <v>-35004</v>
      </c>
      <c r="D20" s="103">
        <f t="shared" si="5"/>
        <v>-24835</v>
      </c>
      <c r="E20" s="103">
        <f>SUM(E19)</f>
        <v>-32709</v>
      </c>
      <c r="F20" s="103">
        <v>-29978</v>
      </c>
      <c r="G20" s="103">
        <f>SUM(G19)</f>
        <v>-31920</v>
      </c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AC20" s="112"/>
    </row>
    <row r="21" spans="1:29" x14ac:dyDescent="0.25">
      <c r="A21" s="1"/>
      <c r="C21" s="42"/>
      <c r="D21" s="42"/>
      <c r="R21" s="42"/>
      <c r="S21" s="42"/>
      <c r="T21" s="42"/>
      <c r="U21" s="42"/>
      <c r="V21" s="42"/>
      <c r="W21" s="42"/>
      <c r="X21" s="42"/>
      <c r="Y21" s="42"/>
    </row>
    <row r="22" spans="1:29" x14ac:dyDescent="0.25">
      <c r="A22" s="96">
        <v>3141</v>
      </c>
      <c r="B22" s="1" t="s">
        <v>52</v>
      </c>
      <c r="C22" s="42">
        <v>-26576.1</v>
      </c>
      <c r="D22" s="42">
        <v>-33268.07</v>
      </c>
      <c r="E22" s="100">
        <v>-22845.41</v>
      </c>
      <c r="F22" s="100">
        <v>-23059.63</v>
      </c>
      <c r="G22" s="100">
        <v>-21151.03</v>
      </c>
      <c r="R22" s="42"/>
      <c r="S22" s="42"/>
      <c r="T22" s="42"/>
      <c r="U22" s="42"/>
      <c r="V22" s="42"/>
      <c r="W22" s="42"/>
      <c r="X22" s="42"/>
      <c r="Y22" s="42"/>
    </row>
    <row r="23" spans="1:29" s="102" customFormat="1" x14ac:dyDescent="0.25">
      <c r="A23" s="102" t="s">
        <v>52</v>
      </c>
      <c r="C23" s="103">
        <f t="shared" ref="C23:D23" si="6">SUM(C22)</f>
        <v>-26576.1</v>
      </c>
      <c r="D23" s="103">
        <f t="shared" si="6"/>
        <v>-33268.07</v>
      </c>
      <c r="E23" s="103">
        <f>SUM(E22)</f>
        <v>-22845.41</v>
      </c>
      <c r="F23" s="103">
        <v>-23059.63</v>
      </c>
      <c r="G23" s="103">
        <f>SUM(G22)</f>
        <v>-21151.03</v>
      </c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AC23" s="112"/>
    </row>
    <row r="24" spans="1:29" x14ac:dyDescent="0.25">
      <c r="A24" s="1"/>
      <c r="C24" s="42"/>
      <c r="D24" s="42"/>
      <c r="R24" s="42"/>
      <c r="S24" s="42"/>
      <c r="T24" s="42"/>
      <c r="U24" s="42"/>
      <c r="V24" s="42"/>
      <c r="W24" s="42"/>
      <c r="X24" s="42"/>
      <c r="Y24" s="42"/>
    </row>
    <row r="25" spans="1:29" x14ac:dyDescent="0.25">
      <c r="A25" s="96">
        <v>3101</v>
      </c>
      <c r="B25" s="1" t="s">
        <v>139</v>
      </c>
      <c r="C25" s="42">
        <v>-7308</v>
      </c>
      <c r="D25" s="42">
        <v>-5950</v>
      </c>
      <c r="E25" s="100">
        <v>-4000</v>
      </c>
      <c r="F25" s="100">
        <v>-1800</v>
      </c>
      <c r="G25" s="100">
        <v>-1600</v>
      </c>
      <c r="T25" s="42"/>
      <c r="Y25" s="42"/>
    </row>
    <row r="26" spans="1:29" x14ac:dyDescent="0.25">
      <c r="A26" s="96">
        <v>3102</v>
      </c>
      <c r="B26" s="1" t="s">
        <v>140</v>
      </c>
      <c r="C26" s="42">
        <v>-122500</v>
      </c>
      <c r="D26" s="42">
        <v>-175000</v>
      </c>
      <c r="E26" s="100">
        <v>-121000</v>
      </c>
      <c r="F26" s="100">
        <v>-128500</v>
      </c>
      <c r="G26" s="100">
        <v>-75750</v>
      </c>
      <c r="R26" s="42"/>
      <c r="S26" s="42"/>
      <c r="T26" s="42"/>
      <c r="U26" s="42"/>
      <c r="V26" s="42"/>
      <c r="W26" s="42"/>
      <c r="X26" s="42"/>
      <c r="Y26" s="42"/>
    </row>
    <row r="27" spans="1:29" s="102" customFormat="1" x14ac:dyDescent="0.25">
      <c r="A27" s="102" t="s">
        <v>21</v>
      </c>
      <c r="C27" s="103">
        <f t="shared" ref="C27:D27" si="7">SUM(C25:C26)</f>
        <v>-129808</v>
      </c>
      <c r="D27" s="103">
        <f t="shared" si="7"/>
        <v>-180950</v>
      </c>
      <c r="E27" s="103">
        <f>SUM(E25:E26)</f>
        <v>-125000</v>
      </c>
      <c r="F27" s="103">
        <v>-130300</v>
      </c>
      <c r="G27" s="103">
        <f>SUM(G25:G26)</f>
        <v>-77350</v>
      </c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AC27" s="112"/>
    </row>
    <row r="28" spans="1:29" x14ac:dyDescent="0.25">
      <c r="C28" s="42"/>
      <c r="D28" s="42"/>
      <c r="R28" s="42"/>
      <c r="S28" s="42"/>
      <c r="T28" s="42"/>
      <c r="U28" s="42"/>
      <c r="V28" s="42"/>
      <c r="W28" s="42"/>
      <c r="X28" s="42"/>
      <c r="Y28" s="42"/>
    </row>
    <row r="29" spans="1:29" x14ac:dyDescent="0.25">
      <c r="A29" s="96">
        <v>3109</v>
      </c>
      <c r="B29" s="1" t="s">
        <v>125</v>
      </c>
      <c r="C29" s="42">
        <v>-49947.02</v>
      </c>
      <c r="D29" s="42">
        <v>-54813.1</v>
      </c>
      <c r="E29" s="100">
        <v>-88097</v>
      </c>
      <c r="F29" s="100">
        <v>-46211.199999999997</v>
      </c>
      <c r="R29" s="42"/>
      <c r="S29" s="42"/>
      <c r="T29" s="42"/>
      <c r="U29" s="42"/>
      <c r="V29" s="42"/>
      <c r="W29" s="42"/>
      <c r="X29" s="42"/>
      <c r="Y29" s="42"/>
    </row>
    <row r="30" spans="1:29" s="102" customFormat="1" x14ac:dyDescent="0.25">
      <c r="A30" s="102" t="s">
        <v>126</v>
      </c>
      <c r="C30" s="103">
        <f t="shared" ref="C30:D30" si="8">SUM(C29)</f>
        <v>-49947.02</v>
      </c>
      <c r="D30" s="103">
        <f t="shared" si="8"/>
        <v>-54813.1</v>
      </c>
      <c r="E30" s="103">
        <f>SUM(E29)</f>
        <v>-88097</v>
      </c>
      <c r="F30" s="103">
        <v>-46211.199999999997</v>
      </c>
      <c r="G30" s="103">
        <f>SUM(G29)</f>
        <v>0</v>
      </c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AC30" s="112"/>
    </row>
    <row r="31" spans="1:29" x14ac:dyDescent="0.25">
      <c r="A31" s="1"/>
    </row>
    <row r="32" spans="1:29" x14ac:dyDescent="0.25">
      <c r="A32" s="96">
        <v>3121</v>
      </c>
      <c r="B32" s="1" t="s">
        <v>146</v>
      </c>
      <c r="C32" s="42"/>
      <c r="D32" s="42"/>
      <c r="R32" s="42"/>
      <c r="S32" s="42"/>
      <c r="T32" s="42"/>
      <c r="U32" s="42"/>
      <c r="V32" s="42"/>
      <c r="W32" s="42"/>
      <c r="X32" s="42"/>
      <c r="Y32" s="42"/>
    </row>
    <row r="33" spans="1:29" x14ac:dyDescent="0.25">
      <c r="A33" s="96">
        <v>3122</v>
      </c>
      <c r="B33" s="1" t="s">
        <v>147</v>
      </c>
      <c r="C33" s="42">
        <v>-3140</v>
      </c>
      <c r="D33" s="42"/>
      <c r="R33" s="42"/>
      <c r="S33" s="42"/>
      <c r="T33" s="42"/>
      <c r="U33" s="42"/>
      <c r="V33" s="42"/>
      <c r="W33" s="42"/>
      <c r="X33" s="42"/>
      <c r="Y33" s="42"/>
    </row>
    <row r="34" spans="1:29" s="102" customFormat="1" x14ac:dyDescent="0.25">
      <c r="A34" s="102" t="s">
        <v>90</v>
      </c>
      <c r="C34" s="103">
        <f>SUM(C32:Z33)</f>
        <v>-3140</v>
      </c>
      <c r="D34" s="103">
        <f>SUM(D32:AA33)</f>
        <v>0</v>
      </c>
      <c r="E34" s="103">
        <f>SUM(E32:AB33)</f>
        <v>0</v>
      </c>
      <c r="F34" s="103">
        <v>0</v>
      </c>
      <c r="G34" s="103">
        <f>SUM(G32:AC33)</f>
        <v>0</v>
      </c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AC34" s="112"/>
    </row>
    <row r="36" spans="1:29" x14ac:dyDescent="0.25">
      <c r="A36" s="96">
        <v>3130</v>
      </c>
      <c r="B36" s="1" t="s">
        <v>148</v>
      </c>
      <c r="C36" s="42"/>
      <c r="D36" s="42">
        <v>-16833</v>
      </c>
      <c r="E36" s="100">
        <v>0</v>
      </c>
      <c r="R36" s="42"/>
      <c r="S36" s="42"/>
      <c r="T36" s="42"/>
      <c r="U36" s="42"/>
      <c r="V36" s="42"/>
      <c r="W36" s="42"/>
      <c r="X36" s="42"/>
      <c r="Y36" s="42"/>
    </row>
    <row r="37" spans="1:29" s="102" customFormat="1" x14ac:dyDescent="0.25">
      <c r="A37" s="102" t="s">
        <v>91</v>
      </c>
      <c r="C37" s="103">
        <f t="shared" ref="C37:D37" si="9">SUM(C36)</f>
        <v>0</v>
      </c>
      <c r="D37" s="103">
        <f t="shared" si="9"/>
        <v>-16833</v>
      </c>
      <c r="E37" s="103">
        <f>SUM(E36)</f>
        <v>0</v>
      </c>
      <c r="F37" s="103">
        <v>0</v>
      </c>
      <c r="G37" s="103">
        <f>SUM(G36)</f>
        <v>0</v>
      </c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AC37" s="112"/>
    </row>
    <row r="38" spans="1:29" x14ac:dyDescent="0.25">
      <c r="A38" s="1"/>
    </row>
    <row r="39" spans="1:29" x14ac:dyDescent="0.25">
      <c r="A39" s="96">
        <v>3106</v>
      </c>
      <c r="B39" s="1" t="s">
        <v>216</v>
      </c>
      <c r="C39" s="42"/>
      <c r="D39" s="42"/>
      <c r="E39" s="100">
        <v>0</v>
      </c>
      <c r="F39" s="100">
        <v>-1410</v>
      </c>
      <c r="R39" s="42"/>
      <c r="S39" s="42"/>
      <c r="T39" s="42"/>
      <c r="U39" s="42"/>
      <c r="V39" s="42"/>
      <c r="W39" s="42"/>
      <c r="X39" s="42"/>
      <c r="Y39" s="42"/>
    </row>
    <row r="40" spans="1:29" x14ac:dyDescent="0.25">
      <c r="A40" s="96">
        <v>3107</v>
      </c>
      <c r="B40" s="1" t="s">
        <v>217</v>
      </c>
      <c r="C40" s="42"/>
      <c r="D40" s="42">
        <v>-1350</v>
      </c>
      <c r="E40" s="100">
        <v>-1930</v>
      </c>
      <c r="F40" s="100">
        <v>-479</v>
      </c>
      <c r="G40" s="100">
        <v>-3250</v>
      </c>
      <c r="R40" s="42"/>
      <c r="S40" s="42"/>
      <c r="T40" s="42"/>
      <c r="U40" s="42"/>
      <c r="V40" s="42"/>
      <c r="W40" s="42"/>
      <c r="X40" s="42"/>
      <c r="Y40" s="42"/>
    </row>
    <row r="41" spans="1:29" x14ac:dyDescent="0.25">
      <c r="A41" s="96">
        <v>3108</v>
      </c>
      <c r="B41" s="1" t="s">
        <v>143</v>
      </c>
      <c r="C41" s="42"/>
      <c r="D41" s="42"/>
      <c r="R41" s="42"/>
      <c r="S41" s="42"/>
      <c r="T41" s="42"/>
      <c r="V41" s="42"/>
      <c r="Y41" s="42"/>
    </row>
    <row r="42" spans="1:29" x14ac:dyDescent="0.25">
      <c r="A42" s="96">
        <v>3121</v>
      </c>
      <c r="B42" s="1" t="s">
        <v>218</v>
      </c>
      <c r="C42" s="42"/>
      <c r="D42" s="42"/>
      <c r="E42" s="100">
        <v>-1042.3399999999999</v>
      </c>
      <c r="F42" s="100">
        <v>-150</v>
      </c>
      <c r="G42" s="100">
        <v>-174.12</v>
      </c>
      <c r="R42" s="42"/>
      <c r="S42" s="42"/>
      <c r="T42" s="42"/>
      <c r="V42" s="42"/>
      <c r="Y42" s="42"/>
    </row>
    <row r="43" spans="1:29" x14ac:dyDescent="0.25">
      <c r="A43" s="96">
        <v>3140</v>
      </c>
      <c r="B43" s="1" t="s">
        <v>149</v>
      </c>
      <c r="C43" s="42"/>
      <c r="D43" s="42"/>
      <c r="E43" s="100">
        <v>-3841.05</v>
      </c>
      <c r="G43" s="140">
        <f>-18106.94+12000</f>
        <v>-6106.9399999999987</v>
      </c>
      <c r="R43" s="42"/>
      <c r="S43" s="42"/>
      <c r="T43" s="42"/>
      <c r="U43" s="42"/>
      <c r="V43" s="42"/>
      <c r="W43" s="42"/>
      <c r="X43" s="42"/>
      <c r="Y43" s="42"/>
    </row>
    <row r="44" spans="1:29" x14ac:dyDescent="0.25">
      <c r="A44" s="96">
        <v>3170</v>
      </c>
      <c r="B44" s="1" t="s">
        <v>150</v>
      </c>
      <c r="C44" s="42"/>
      <c r="D44" s="42"/>
      <c r="E44" s="100">
        <v>-1500</v>
      </c>
      <c r="F44" s="100">
        <v>-8900</v>
      </c>
      <c r="G44" s="100">
        <v>-8000</v>
      </c>
      <c r="R44" s="42"/>
      <c r="S44" s="42"/>
      <c r="T44" s="42"/>
      <c r="U44" s="42"/>
      <c r="V44" s="42"/>
      <c r="W44" s="42"/>
      <c r="X44" s="42"/>
      <c r="Y44" s="42"/>
    </row>
    <row r="45" spans="1:29" x14ac:dyDescent="0.25">
      <c r="A45" s="96">
        <v>3990</v>
      </c>
      <c r="B45" s="1" t="s">
        <v>154</v>
      </c>
      <c r="C45" s="42"/>
      <c r="D45" s="42"/>
      <c r="R45" s="42"/>
      <c r="S45" s="42"/>
      <c r="T45" s="42"/>
      <c r="U45" s="42"/>
      <c r="V45" s="42"/>
      <c r="W45" s="42"/>
      <c r="X45" s="42"/>
      <c r="Y45" s="42"/>
    </row>
    <row r="46" spans="1:29" s="102" customFormat="1" x14ac:dyDescent="0.25">
      <c r="A46" s="102" t="s">
        <v>62</v>
      </c>
      <c r="C46" s="103">
        <f t="shared" ref="C46:D46" si="10">SUM(C39:C45)</f>
        <v>0</v>
      </c>
      <c r="D46" s="103">
        <f t="shared" si="10"/>
        <v>-1350</v>
      </c>
      <c r="E46" s="103">
        <f>SUM(E39:E45)</f>
        <v>-8313.39</v>
      </c>
      <c r="F46" s="103">
        <v>-10939</v>
      </c>
      <c r="G46" s="103">
        <f>SUM(G39:G45)</f>
        <v>-17531.059999999998</v>
      </c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AC46" s="112"/>
    </row>
    <row r="47" spans="1:29" x14ac:dyDescent="0.25">
      <c r="A47" s="1"/>
    </row>
    <row r="48" spans="1:29" x14ac:dyDescent="0.25">
      <c r="A48" s="96">
        <v>8070</v>
      </c>
      <c r="B48" s="1" t="s">
        <v>214</v>
      </c>
      <c r="C48" s="42">
        <v>-2216</v>
      </c>
      <c r="D48" s="42">
        <v>-779</v>
      </c>
      <c r="E48" s="100">
        <v>-1830</v>
      </c>
      <c r="F48" s="100">
        <v>-13831</v>
      </c>
      <c r="G48" s="100">
        <v>-29363.84</v>
      </c>
      <c r="R48" s="42"/>
      <c r="S48" s="42"/>
      <c r="T48" s="42"/>
      <c r="U48" s="42"/>
      <c r="V48" s="42"/>
      <c r="W48" s="42"/>
      <c r="X48" s="42"/>
      <c r="Y48" s="42"/>
    </row>
    <row r="49" spans="1:29" s="102" customFormat="1" x14ac:dyDescent="0.25">
      <c r="A49" s="102" t="s">
        <v>3</v>
      </c>
      <c r="C49" s="103">
        <f t="shared" ref="C49:D49" si="11">SUM(C48)</f>
        <v>-2216</v>
      </c>
      <c r="D49" s="103">
        <f t="shared" si="11"/>
        <v>-779</v>
      </c>
      <c r="E49" s="103">
        <f>SUM(E48)</f>
        <v>-1830</v>
      </c>
      <c r="F49" s="103">
        <v>-13831</v>
      </c>
      <c r="G49" s="103">
        <f>SUM(G48)</f>
        <v>-29363.84</v>
      </c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AC49" s="112"/>
    </row>
    <row r="51" spans="1:29" x14ac:dyDescent="0.25">
      <c r="A51" s="96">
        <v>3111</v>
      </c>
      <c r="B51" s="1" t="s">
        <v>144</v>
      </c>
      <c r="C51" s="42">
        <v>-22400</v>
      </c>
      <c r="D51" s="42">
        <v>-56850</v>
      </c>
      <c r="E51" s="100">
        <v>-30550</v>
      </c>
      <c r="R51" s="42"/>
      <c r="S51" s="42"/>
      <c r="T51" s="42"/>
      <c r="U51" s="42"/>
      <c r="V51" s="42"/>
      <c r="W51" s="42"/>
      <c r="X51" s="42"/>
      <c r="Y51" s="42"/>
    </row>
    <row r="52" spans="1:29" x14ac:dyDescent="0.25">
      <c r="A52" s="96">
        <v>3112</v>
      </c>
      <c r="B52" s="1" t="s">
        <v>145</v>
      </c>
      <c r="C52" s="42">
        <v>-45000</v>
      </c>
      <c r="D52" s="42">
        <v>-70000</v>
      </c>
      <c r="E52" s="100">
        <v>-54200</v>
      </c>
      <c r="R52" s="42"/>
      <c r="S52" s="42"/>
      <c r="T52" s="42"/>
      <c r="U52" s="42"/>
      <c r="V52" s="42"/>
      <c r="W52" s="42"/>
      <c r="X52" s="42"/>
      <c r="Y52" s="42"/>
    </row>
    <row r="53" spans="1:29" x14ac:dyDescent="0.25">
      <c r="A53" s="96">
        <v>8070</v>
      </c>
      <c r="B53" s="1" t="s">
        <v>214</v>
      </c>
      <c r="C53" s="42"/>
      <c r="D53" s="42"/>
      <c r="E53" s="100">
        <v>-32.020000000000003</v>
      </c>
      <c r="R53" s="42"/>
      <c r="S53" s="42"/>
      <c r="T53" s="42"/>
      <c r="U53" s="42"/>
      <c r="V53" s="42"/>
      <c r="W53" s="42"/>
      <c r="X53" s="42"/>
      <c r="Y53" s="42"/>
    </row>
    <row r="54" spans="1:29" s="102" customFormat="1" x14ac:dyDescent="0.25">
      <c r="A54" s="102" t="s">
        <v>45</v>
      </c>
      <c r="C54" s="103">
        <f t="shared" ref="C54:D54" si="12">SUM(C51:C52)</f>
        <v>-67400</v>
      </c>
      <c r="D54" s="103">
        <f t="shared" si="12"/>
        <v>-126850</v>
      </c>
      <c r="E54" s="103">
        <f>SUM(E51:E53)</f>
        <v>-84782.02</v>
      </c>
      <c r="F54" s="103">
        <v>0</v>
      </c>
      <c r="G54" s="103">
        <f>SUM(G51:G53)</f>
        <v>0</v>
      </c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AC54" s="112"/>
    </row>
    <row r="55" spans="1:29" x14ac:dyDescent="0.25">
      <c r="C55" s="42"/>
      <c r="D55" s="42"/>
      <c r="R55" s="42"/>
      <c r="S55" s="42"/>
      <c r="T55" s="42"/>
      <c r="U55" s="42"/>
      <c r="V55" s="42"/>
      <c r="W55" s="42"/>
      <c r="X55" s="42"/>
      <c r="Y55" s="42"/>
    </row>
    <row r="56" spans="1:29" s="109" customFormat="1" x14ac:dyDescent="0.25">
      <c r="A56" s="108" t="s">
        <v>25</v>
      </c>
      <c r="C56" s="111">
        <f t="shared" ref="C56:D56" si="13">C4+C7+C10+C14+C17+C20+C23+C27+C30+C34+C37+C46+C49+C54</f>
        <v>-466113.12</v>
      </c>
      <c r="D56" s="111">
        <f t="shared" si="13"/>
        <v>-579566.77</v>
      </c>
      <c r="E56" s="111">
        <f>E4+E7+E10+E14+E17+E20+E23+E27+E30+E34+E37+E46+E49+E54</f>
        <v>-520442.72000000003</v>
      </c>
      <c r="F56" s="111">
        <v>-384409.87</v>
      </c>
      <c r="G56" s="111">
        <f>G4+G7+G10+G14+G17+G20+G23+G27+G30+G34+G37+G46+G49+G54</f>
        <v>-309021.93</v>
      </c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AC56" s="113"/>
    </row>
    <row r="57" spans="1:29" x14ac:dyDescent="0.25">
      <c r="C57" s="42"/>
      <c r="D57" s="42"/>
      <c r="R57" s="42"/>
      <c r="S57" s="42"/>
      <c r="T57" s="42"/>
      <c r="U57" s="42"/>
      <c r="V57" s="42"/>
      <c r="W57" s="42"/>
      <c r="X57" s="42"/>
      <c r="Y57" s="42"/>
    </row>
    <row r="58" spans="1:29" x14ac:dyDescent="0.25">
      <c r="A58" s="96">
        <v>6320</v>
      </c>
      <c r="B58" s="1" t="s">
        <v>156</v>
      </c>
      <c r="C58" s="42">
        <v>14495</v>
      </c>
      <c r="D58" s="42">
        <v>14322</v>
      </c>
      <c r="E58" s="100">
        <v>12380.68</v>
      </c>
      <c r="F58" s="100">
        <v>11270.28</v>
      </c>
      <c r="G58" s="100">
        <v>9357.14</v>
      </c>
      <c r="R58" s="42"/>
      <c r="S58" s="42"/>
      <c r="T58" s="42"/>
      <c r="U58" s="42"/>
      <c r="V58" s="42"/>
      <c r="W58" s="42"/>
      <c r="X58" s="42"/>
      <c r="Y58" s="42"/>
    </row>
    <row r="59" spans="1:29" x14ac:dyDescent="0.25">
      <c r="A59" s="96">
        <v>6340</v>
      </c>
      <c r="B59" s="1" t="s">
        <v>51</v>
      </c>
      <c r="C59" s="42">
        <v>12035.66</v>
      </c>
      <c r="D59" s="42">
        <v>13659.52</v>
      </c>
      <c r="E59" s="100">
        <v>23727.18</v>
      </c>
      <c r="F59" s="100">
        <v>25737.14</v>
      </c>
      <c r="G59" s="100">
        <v>23671.02</v>
      </c>
      <c r="R59" s="42"/>
      <c r="S59" s="42"/>
      <c r="T59" s="42"/>
      <c r="U59" s="42"/>
      <c r="V59" s="42"/>
      <c r="W59" s="42"/>
      <c r="X59" s="42"/>
      <c r="Y59" s="42"/>
    </row>
    <row r="60" spans="1:29" x14ac:dyDescent="0.25">
      <c r="A60" s="96">
        <v>6540</v>
      </c>
      <c r="B60" s="1" t="s">
        <v>196</v>
      </c>
      <c r="C60" s="42">
        <v>4378</v>
      </c>
      <c r="D60" s="42">
        <v>59.9</v>
      </c>
      <c r="E60" s="100">
        <v>0</v>
      </c>
      <c r="F60" s="100">
        <v>2797</v>
      </c>
      <c r="R60" s="42"/>
      <c r="S60" s="42"/>
      <c r="T60" s="42"/>
      <c r="U60" s="42"/>
      <c r="V60" s="42"/>
      <c r="W60" s="42"/>
      <c r="X60" s="42"/>
      <c r="Y60" s="42"/>
    </row>
    <row r="61" spans="1:29" x14ac:dyDescent="0.25">
      <c r="A61" s="96">
        <v>6390</v>
      </c>
      <c r="B61" s="1" t="s">
        <v>157</v>
      </c>
      <c r="C61" s="42"/>
      <c r="D61" s="42"/>
      <c r="R61" s="42"/>
      <c r="S61" s="42"/>
      <c r="T61" s="42"/>
      <c r="U61" s="42"/>
      <c r="V61" s="42"/>
      <c r="W61" s="42"/>
      <c r="X61" s="42"/>
      <c r="Y61" s="42"/>
    </row>
    <row r="62" spans="1:29" x14ac:dyDescent="0.25">
      <c r="A62" s="96">
        <v>6600</v>
      </c>
      <c r="B62" s="1" t="s">
        <v>175</v>
      </c>
      <c r="C62" s="42">
        <v>12269.8</v>
      </c>
      <c r="D62" s="42">
        <v>24211.5</v>
      </c>
      <c r="E62" s="100">
        <v>66617.13</v>
      </c>
      <c r="F62" s="100">
        <v>185133.16</v>
      </c>
      <c r="G62" s="100">
        <v>3671.8</v>
      </c>
      <c r="R62" s="42"/>
      <c r="S62" s="42"/>
      <c r="T62" s="42"/>
      <c r="U62" s="42"/>
      <c r="V62" s="42"/>
      <c r="W62" s="42"/>
      <c r="X62" s="42"/>
      <c r="Y62" s="42"/>
    </row>
    <row r="63" spans="1:29" x14ac:dyDescent="0.25">
      <c r="A63" s="96">
        <v>6601</v>
      </c>
      <c r="B63" s="1" t="s">
        <v>202</v>
      </c>
      <c r="C63" s="42"/>
      <c r="D63" s="42"/>
      <c r="E63" s="100">
        <v>4000</v>
      </c>
      <c r="F63" s="100">
        <v>0</v>
      </c>
      <c r="R63" s="42"/>
      <c r="S63" s="42"/>
      <c r="T63" s="42"/>
      <c r="U63" s="42"/>
      <c r="V63" s="42"/>
      <c r="W63" s="42"/>
      <c r="X63" s="42"/>
      <c r="Y63" s="42"/>
    </row>
    <row r="64" spans="1:29" x14ac:dyDescent="0.25">
      <c r="A64" s="96">
        <v>7320</v>
      </c>
      <c r="B64" s="1" t="s">
        <v>187</v>
      </c>
      <c r="C64" s="42">
        <v>990</v>
      </c>
      <c r="D64" s="42">
        <v>595</v>
      </c>
      <c r="E64" s="100">
        <v>625</v>
      </c>
      <c r="F64" s="100">
        <v>0</v>
      </c>
      <c r="R64" s="42"/>
      <c r="S64" s="42"/>
      <c r="T64" s="42"/>
      <c r="U64" s="42"/>
      <c r="V64" s="42"/>
      <c r="W64" s="42"/>
      <c r="X64" s="42"/>
      <c r="Y64" s="42"/>
    </row>
    <row r="65" spans="1:29" x14ac:dyDescent="0.25">
      <c r="A65" s="96">
        <v>7500</v>
      </c>
      <c r="B65" s="1" t="s">
        <v>197</v>
      </c>
      <c r="C65" s="42">
        <v>15400</v>
      </c>
      <c r="D65" s="42">
        <v>7020</v>
      </c>
      <c r="E65" s="100">
        <v>7412</v>
      </c>
      <c r="F65" s="100">
        <v>8004</v>
      </c>
      <c r="G65" s="100">
        <v>9294</v>
      </c>
      <c r="R65" s="42"/>
      <c r="S65" s="42"/>
      <c r="T65" s="42"/>
      <c r="U65" s="42"/>
      <c r="V65" s="42"/>
      <c r="W65" s="42"/>
      <c r="X65" s="42"/>
      <c r="Y65" s="42"/>
    </row>
    <row r="66" spans="1:29" x14ac:dyDescent="0.25">
      <c r="A66" s="96">
        <v>7810</v>
      </c>
      <c r="B66" s="1" t="s">
        <v>195</v>
      </c>
      <c r="C66" s="42"/>
      <c r="D66" s="42">
        <v>1000</v>
      </c>
      <c r="E66" s="100">
        <v>0</v>
      </c>
      <c r="F66" s="100">
        <v>0</v>
      </c>
      <c r="R66" s="42"/>
      <c r="S66" s="42"/>
      <c r="T66" s="42"/>
      <c r="U66" s="42"/>
      <c r="V66" s="42"/>
      <c r="W66" s="42"/>
      <c r="X66" s="42"/>
      <c r="Y66" s="42"/>
    </row>
    <row r="67" spans="1:29" s="105" customFormat="1" x14ac:dyDescent="0.25">
      <c r="A67" s="102" t="s">
        <v>130</v>
      </c>
      <c r="C67" s="103">
        <f t="shared" ref="C67:D67" si="14">SUM(C58:C66)</f>
        <v>59568.46</v>
      </c>
      <c r="D67" s="103">
        <f t="shared" si="14"/>
        <v>60867.92</v>
      </c>
      <c r="E67" s="103">
        <f>SUM(E58:E66)</f>
        <v>114761.99</v>
      </c>
      <c r="F67" s="103">
        <v>232941.58000000002</v>
      </c>
      <c r="G67" s="103">
        <f>SUM(G58:G66)</f>
        <v>45993.960000000006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AC67" s="114">
        <f>SUM(E58:E66)</f>
        <v>114761.99</v>
      </c>
    </row>
    <row r="68" spans="1:29" x14ac:dyDescent="0.25">
      <c r="C68" s="42"/>
      <c r="D68" s="42"/>
      <c r="R68" s="42"/>
      <c r="S68" s="42"/>
      <c r="T68" s="42"/>
      <c r="U68" s="42"/>
      <c r="V68" s="42"/>
      <c r="W68" s="42"/>
      <c r="X68" s="42"/>
      <c r="Y68" s="42"/>
    </row>
    <row r="69" spans="1:29" x14ac:dyDescent="0.25">
      <c r="A69" s="96">
        <v>6300</v>
      </c>
      <c r="B69" s="1" t="s">
        <v>155</v>
      </c>
      <c r="C69" s="42">
        <v>20000</v>
      </c>
      <c r="D69" s="42">
        <v>16000</v>
      </c>
      <c r="E69" s="100">
        <v>12300</v>
      </c>
      <c r="F69" s="100">
        <v>17464</v>
      </c>
      <c r="G69" s="100">
        <v>18344</v>
      </c>
      <c r="R69" s="42"/>
      <c r="S69" s="42"/>
      <c r="T69" s="42"/>
      <c r="U69" s="42"/>
      <c r="V69" s="42"/>
      <c r="W69" s="42"/>
      <c r="X69" s="42"/>
      <c r="Y69" s="42"/>
    </row>
    <row r="70" spans="1:29" s="102" customFormat="1" x14ac:dyDescent="0.25">
      <c r="A70" s="102" t="s">
        <v>129</v>
      </c>
      <c r="C70" s="103">
        <f t="shared" ref="C70:D70" si="15">SUM(C69)</f>
        <v>20000</v>
      </c>
      <c r="D70" s="103">
        <f t="shared" si="15"/>
        <v>16000</v>
      </c>
      <c r="E70" s="103">
        <f>SUM(E69)</f>
        <v>12300</v>
      </c>
      <c r="F70" s="103">
        <v>17464</v>
      </c>
      <c r="G70" s="103">
        <f>SUM(G69)</f>
        <v>18344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AC70" s="112"/>
    </row>
    <row r="71" spans="1:29" x14ac:dyDescent="0.25">
      <c r="C71" s="42"/>
      <c r="D71" s="42"/>
      <c r="R71" s="42"/>
      <c r="S71" s="42"/>
      <c r="T71" s="42"/>
      <c r="U71" s="42"/>
      <c r="V71" s="42"/>
      <c r="W71" s="42"/>
      <c r="X71" s="42"/>
      <c r="Y71" s="42"/>
    </row>
    <row r="72" spans="1:29" x14ac:dyDescent="0.25">
      <c r="A72" s="96">
        <v>6559</v>
      </c>
      <c r="B72" s="1" t="s">
        <v>168</v>
      </c>
      <c r="C72" s="42"/>
      <c r="D72" s="42">
        <v>37844.92</v>
      </c>
      <c r="E72" s="100">
        <v>21172.01</v>
      </c>
      <c r="F72" s="100">
        <v>5030</v>
      </c>
      <c r="R72" s="42"/>
      <c r="S72" s="42"/>
      <c r="T72" s="42"/>
      <c r="U72" s="42"/>
      <c r="V72" s="42"/>
      <c r="W72" s="42"/>
      <c r="X72" s="42"/>
      <c r="Y72" s="42"/>
    </row>
    <row r="73" spans="1:29" x14ac:dyDescent="0.25">
      <c r="A73" s="96">
        <v>6560</v>
      </c>
      <c r="B73" s="1" t="s">
        <v>169</v>
      </c>
      <c r="C73" s="42"/>
      <c r="D73" s="42"/>
      <c r="E73" s="100">
        <v>20000</v>
      </c>
      <c r="F73" s="100">
        <v>0</v>
      </c>
      <c r="R73" s="42"/>
      <c r="S73" s="42"/>
      <c r="T73" s="42"/>
      <c r="U73" s="42"/>
      <c r="V73" s="42"/>
      <c r="W73" s="42"/>
      <c r="X73" s="42"/>
      <c r="Y73" s="42"/>
    </row>
    <row r="74" spans="1:29" x14ac:dyDescent="0.25">
      <c r="A74" s="96">
        <v>6553</v>
      </c>
      <c r="B74" s="1" t="s">
        <v>162</v>
      </c>
      <c r="C74" s="42">
        <v>1026</v>
      </c>
      <c r="D74" s="42">
        <v>1452.87</v>
      </c>
      <c r="F74" s="100">
        <v>1270.8</v>
      </c>
      <c r="G74" s="100">
        <v>151.69999999999999</v>
      </c>
      <c r="R74" s="42"/>
      <c r="S74" s="42"/>
      <c r="T74" s="42"/>
      <c r="U74" s="42"/>
      <c r="V74" s="42"/>
      <c r="W74" s="42"/>
      <c r="X74" s="42"/>
      <c r="Y74" s="42"/>
    </row>
    <row r="75" spans="1:29" x14ac:dyDescent="0.25">
      <c r="A75" s="96">
        <v>6554</v>
      </c>
      <c r="B75" s="1" t="s">
        <v>163</v>
      </c>
      <c r="C75" s="42"/>
      <c r="D75" s="42">
        <v>389</v>
      </c>
      <c r="F75" s="100">
        <v>373.1</v>
      </c>
      <c r="R75" s="42"/>
      <c r="S75" s="42"/>
      <c r="T75" s="42"/>
      <c r="U75" s="42"/>
      <c r="V75" s="42"/>
      <c r="W75" s="42"/>
      <c r="X75" s="42"/>
      <c r="Y75" s="42"/>
    </row>
    <row r="76" spans="1:29" x14ac:dyDescent="0.25">
      <c r="A76" s="96">
        <v>6558</v>
      </c>
      <c r="B76" s="1" t="s">
        <v>167</v>
      </c>
      <c r="C76" s="42"/>
      <c r="D76" s="42">
        <v>2043.51</v>
      </c>
      <c r="E76" s="100">
        <v>552.20000000000005</v>
      </c>
      <c r="R76" s="42"/>
      <c r="S76" s="42"/>
      <c r="T76" s="42"/>
      <c r="U76" s="42"/>
      <c r="V76" s="42"/>
      <c r="W76" s="42"/>
      <c r="X76" s="42"/>
      <c r="Y76" s="42"/>
    </row>
    <row r="77" spans="1:29" x14ac:dyDescent="0.25">
      <c r="A77" s="96">
        <v>6560</v>
      </c>
      <c r="B77" s="1" t="s">
        <v>169</v>
      </c>
      <c r="C77" s="42"/>
      <c r="D77" s="42">
        <v>6000</v>
      </c>
      <c r="R77" s="42"/>
      <c r="S77" s="42"/>
      <c r="T77" s="42"/>
      <c r="U77" s="42"/>
      <c r="V77" s="42"/>
      <c r="W77" s="42"/>
      <c r="X77" s="42"/>
      <c r="Y77" s="42"/>
    </row>
    <row r="78" spans="1:29" x14ac:dyDescent="0.25">
      <c r="A78" s="96">
        <v>6561</v>
      </c>
      <c r="B78" s="1" t="s">
        <v>138</v>
      </c>
      <c r="C78" s="42">
        <v>17555.46</v>
      </c>
      <c r="D78" s="42"/>
      <c r="E78" s="100">
        <v>13522.11</v>
      </c>
      <c r="F78" s="100">
        <v>18337.490000000002</v>
      </c>
      <c r="G78" s="100">
        <v>11682.55</v>
      </c>
      <c r="R78" s="42"/>
      <c r="S78" s="42"/>
      <c r="T78" s="42"/>
      <c r="U78" s="42"/>
      <c r="V78" s="42"/>
      <c r="W78" s="42"/>
      <c r="X78" s="42"/>
      <c r="Y78" s="42"/>
    </row>
    <row r="79" spans="1:29" x14ac:dyDescent="0.25">
      <c r="A79" s="96">
        <v>6563</v>
      </c>
      <c r="B79" s="1" t="s">
        <v>236</v>
      </c>
      <c r="C79" s="42"/>
      <c r="D79" s="42"/>
      <c r="R79" s="42"/>
      <c r="S79" s="42"/>
      <c r="T79" s="42"/>
      <c r="U79" s="42"/>
      <c r="V79" s="42"/>
      <c r="W79" s="42"/>
      <c r="X79" s="42"/>
      <c r="Y79" s="42"/>
    </row>
    <row r="80" spans="1:29" x14ac:dyDescent="0.25">
      <c r="A80" s="96">
        <v>6566</v>
      </c>
      <c r="B80" s="1" t="s">
        <v>173</v>
      </c>
      <c r="C80" s="42"/>
      <c r="D80" s="42"/>
      <c r="F80" s="100">
        <v>4192.9799999999996</v>
      </c>
      <c r="R80" s="42"/>
      <c r="S80" s="42"/>
      <c r="T80" s="42"/>
      <c r="U80" s="42"/>
      <c r="V80" s="42"/>
      <c r="W80" s="42"/>
      <c r="X80" s="42"/>
      <c r="Y80" s="42"/>
    </row>
    <row r="81" spans="1:29" x14ac:dyDescent="0.25">
      <c r="A81" s="96">
        <v>6567</v>
      </c>
      <c r="B81" s="1" t="s">
        <v>174</v>
      </c>
      <c r="C81" s="42"/>
      <c r="D81" s="42"/>
      <c r="E81" s="100">
        <v>4880.3500000000004</v>
      </c>
      <c r="F81" s="100">
        <v>11203.16</v>
      </c>
      <c r="G81" s="100">
        <v>4184.97</v>
      </c>
      <c r="R81" s="42"/>
      <c r="S81" s="42"/>
      <c r="T81" s="42"/>
      <c r="U81" s="42"/>
      <c r="V81" s="42"/>
      <c r="W81" s="42"/>
      <c r="X81" s="42"/>
      <c r="Y81" s="42"/>
    </row>
    <row r="82" spans="1:29" x14ac:dyDescent="0.25">
      <c r="A82" s="96">
        <v>6568</v>
      </c>
      <c r="B82" s="1" t="s">
        <v>203</v>
      </c>
      <c r="C82" s="42"/>
      <c r="D82" s="42"/>
      <c r="E82" s="100">
        <v>2534.33</v>
      </c>
      <c r="F82" s="100">
        <v>2790.26</v>
      </c>
      <c r="G82" s="100">
        <v>674.7</v>
      </c>
      <c r="R82" s="42"/>
      <c r="S82" s="42"/>
      <c r="T82" s="42"/>
      <c r="U82" s="42"/>
      <c r="V82" s="42"/>
      <c r="W82" s="42"/>
      <c r="X82" s="42"/>
      <c r="Y82" s="42"/>
    </row>
    <row r="83" spans="1:29" s="102" customFormat="1" x14ac:dyDescent="0.25">
      <c r="A83" s="102" t="s">
        <v>85</v>
      </c>
      <c r="C83" s="103">
        <f>SUM(C72:C82)</f>
        <v>18581.46</v>
      </c>
      <c r="D83" s="103">
        <f>SUM(D72:D82)</f>
        <v>47730.3</v>
      </c>
      <c r="E83" s="103">
        <f>SUM(E72:E82)</f>
        <v>62660.999999999993</v>
      </c>
      <c r="F83" s="103">
        <v>43197.79</v>
      </c>
      <c r="G83" s="103">
        <f>SUM(G72:G82)</f>
        <v>16693.920000000002</v>
      </c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AC83" s="112"/>
    </row>
    <row r="84" spans="1:29" x14ac:dyDescent="0.25">
      <c r="C84" s="42"/>
      <c r="D84" s="42"/>
      <c r="R84" s="42"/>
      <c r="S84" s="42"/>
      <c r="T84" s="42"/>
      <c r="U84" s="42"/>
      <c r="V84" s="42"/>
      <c r="W84" s="42"/>
      <c r="X84" s="42"/>
      <c r="Y84" s="42"/>
    </row>
    <row r="85" spans="1:29" x14ac:dyDescent="0.25">
      <c r="A85" s="96">
        <v>6540</v>
      </c>
      <c r="B85" s="1" t="s">
        <v>196</v>
      </c>
      <c r="C85" s="42">
        <v>4378</v>
      </c>
      <c r="D85" s="42">
        <v>9158.6</v>
      </c>
      <c r="E85" s="100">
        <v>0</v>
      </c>
      <c r="R85" s="42"/>
      <c r="S85" s="42"/>
      <c r="T85" s="42"/>
      <c r="U85" s="42"/>
      <c r="V85" s="42"/>
      <c r="W85" s="42"/>
      <c r="X85" s="42"/>
      <c r="Y85" s="42"/>
    </row>
    <row r="86" spans="1:29" x14ac:dyDescent="0.25">
      <c r="A86" s="96">
        <v>6541</v>
      </c>
      <c r="B86" s="1" t="s">
        <v>159</v>
      </c>
      <c r="C86" s="42">
        <v>1371.5</v>
      </c>
      <c r="D86" s="42">
        <v>3746</v>
      </c>
      <c r="E86" s="100">
        <v>0</v>
      </c>
      <c r="R86" s="42"/>
      <c r="S86" s="42"/>
      <c r="T86" s="42"/>
      <c r="U86" s="42"/>
      <c r="V86" s="42"/>
      <c r="W86" s="42"/>
      <c r="X86" s="42"/>
      <c r="Y86" s="42"/>
    </row>
    <row r="87" spans="1:29" s="102" customFormat="1" x14ac:dyDescent="0.25">
      <c r="A87" s="102" t="s">
        <v>88</v>
      </c>
      <c r="C87" s="103">
        <f t="shared" ref="C87:D87" si="16">SUM(C85:C86)</f>
        <v>5749.5</v>
      </c>
      <c r="D87" s="103">
        <f t="shared" si="16"/>
        <v>12904.6</v>
      </c>
      <c r="E87" s="103">
        <f>SUM(E85:E86)</f>
        <v>0</v>
      </c>
      <c r="F87" s="103">
        <v>0</v>
      </c>
      <c r="G87" s="103">
        <f>SUM(G85:G86)</f>
        <v>0</v>
      </c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AC87" s="112"/>
    </row>
    <row r="88" spans="1:29" s="2" customFormat="1" x14ac:dyDescent="0.25">
      <c r="C88" s="101"/>
      <c r="D88" s="101"/>
      <c r="E88" s="100"/>
      <c r="F88" s="100"/>
      <c r="G88" s="100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AC88" s="10"/>
    </row>
    <row r="89" spans="1:29" x14ac:dyDescent="0.25">
      <c r="A89" s="96">
        <v>6550</v>
      </c>
      <c r="B89" s="1" t="s">
        <v>160</v>
      </c>
      <c r="C89" s="42">
        <v>4455.01</v>
      </c>
      <c r="D89" s="42">
        <v>6411.25</v>
      </c>
      <c r="E89" s="100">
        <v>5430.75</v>
      </c>
      <c r="F89" s="100">
        <v>2377.59</v>
      </c>
      <c r="G89" s="100">
        <v>3444.8</v>
      </c>
      <c r="R89" s="42"/>
      <c r="S89" s="42"/>
      <c r="T89" s="42"/>
      <c r="U89" s="42"/>
      <c r="V89" s="42"/>
      <c r="W89" s="42"/>
      <c r="X89" s="42"/>
      <c r="Y89" s="42"/>
    </row>
    <row r="90" spans="1:29" x14ac:dyDescent="0.25">
      <c r="A90" s="96">
        <v>6551</v>
      </c>
      <c r="B90" s="1" t="s">
        <v>161</v>
      </c>
      <c r="C90" s="42">
        <f>13181.69+285.9</f>
        <v>13467.59</v>
      </c>
      <c r="D90" s="42">
        <v>1239.9000000000001</v>
      </c>
      <c r="E90" s="100">
        <v>9097.6299999999992</v>
      </c>
      <c r="F90" s="100">
        <v>5359.97</v>
      </c>
      <c r="G90" s="100">
        <v>162.9</v>
      </c>
      <c r="R90" s="42"/>
      <c r="S90" s="42"/>
      <c r="T90" s="42"/>
      <c r="U90" s="42"/>
      <c r="V90" s="42"/>
      <c r="W90" s="42"/>
      <c r="X90" s="42"/>
      <c r="Y90" s="42"/>
    </row>
    <row r="91" spans="1:29" s="102" customFormat="1" x14ac:dyDescent="0.25">
      <c r="A91" s="102" t="s">
        <v>26</v>
      </c>
      <c r="C91" s="103">
        <f t="shared" ref="C91:D91" si="17">SUM(C89:C90)</f>
        <v>17922.599999999999</v>
      </c>
      <c r="D91" s="103">
        <f t="shared" si="17"/>
        <v>7651.15</v>
      </c>
      <c r="E91" s="103">
        <f>SUM(E89:E90)</f>
        <v>14528.38</v>
      </c>
      <c r="F91" s="103">
        <v>7737.56</v>
      </c>
      <c r="G91" s="103">
        <f>SUM(G89:G90)</f>
        <v>3607.7000000000003</v>
      </c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AC91" s="112"/>
    </row>
    <row r="92" spans="1:29" s="2" customFormat="1" x14ac:dyDescent="0.25">
      <c r="C92" s="101"/>
      <c r="D92" s="101"/>
      <c r="E92" s="100"/>
      <c r="F92" s="100"/>
      <c r="G92" s="100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AC92" s="10"/>
    </row>
    <row r="93" spans="1:29" x14ac:dyDescent="0.25">
      <c r="A93" s="96">
        <v>6830</v>
      </c>
      <c r="B93" s="1" t="s">
        <v>53</v>
      </c>
      <c r="C93" s="42">
        <v>2781</v>
      </c>
      <c r="D93" s="42">
        <v>9206.7000000000007</v>
      </c>
      <c r="E93" s="100">
        <v>15349</v>
      </c>
      <c r="F93" s="100">
        <v>6877</v>
      </c>
      <c r="G93" s="100">
        <v>7703</v>
      </c>
      <c r="R93" s="42"/>
      <c r="S93" s="42"/>
      <c r="T93" s="42"/>
      <c r="U93" s="42"/>
      <c r="V93" s="42"/>
      <c r="W93" s="42"/>
      <c r="X93" s="42"/>
      <c r="Y93" s="42"/>
    </row>
    <row r="94" spans="1:29" s="102" customFormat="1" x14ac:dyDescent="0.25">
      <c r="A94" s="102" t="s">
        <v>53</v>
      </c>
      <c r="C94" s="103">
        <f t="shared" ref="C94:D94" si="18">SUM(C93)</f>
        <v>2781</v>
      </c>
      <c r="D94" s="103">
        <f t="shared" si="18"/>
        <v>9206.7000000000007</v>
      </c>
      <c r="E94" s="103">
        <f>SUM(E93)</f>
        <v>15349</v>
      </c>
      <c r="F94" s="103">
        <v>6877</v>
      </c>
      <c r="G94" s="103">
        <f>SUM(G93)</f>
        <v>7703</v>
      </c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AC94" s="112"/>
    </row>
    <row r="95" spans="1:29" s="2" customFormat="1" x14ac:dyDescent="0.25">
      <c r="C95" s="101"/>
      <c r="D95" s="101"/>
      <c r="E95" s="100"/>
      <c r="F95" s="100"/>
      <c r="G95" s="100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AC95" s="10"/>
    </row>
    <row r="96" spans="1:29" x14ac:dyDescent="0.25">
      <c r="A96" s="96">
        <v>7410</v>
      </c>
      <c r="B96" s="1" t="s">
        <v>189</v>
      </c>
      <c r="C96" s="42">
        <v>9935</v>
      </c>
      <c r="D96" s="42">
        <v>11188</v>
      </c>
      <c r="E96" s="100">
        <v>13836</v>
      </c>
      <c r="F96" s="100">
        <v>12799</v>
      </c>
      <c r="G96" s="100">
        <v>7512</v>
      </c>
      <c r="R96" s="42"/>
      <c r="S96" s="42"/>
      <c r="T96" s="42"/>
      <c r="U96" s="42"/>
      <c r="V96" s="42"/>
      <c r="W96" s="42"/>
      <c r="X96" s="42"/>
      <c r="Y96" s="42"/>
    </row>
    <row r="97" spans="1:29" s="102" customFormat="1" x14ac:dyDescent="0.25">
      <c r="A97" s="102" t="s">
        <v>86</v>
      </c>
      <c r="C97" s="103">
        <f t="shared" ref="C97:D97" si="19">SUM(C96)</f>
        <v>9935</v>
      </c>
      <c r="D97" s="103">
        <f t="shared" si="19"/>
        <v>11188</v>
      </c>
      <c r="E97" s="103">
        <f>SUM(E96)</f>
        <v>13836</v>
      </c>
      <c r="F97" s="103">
        <v>12799</v>
      </c>
      <c r="G97" s="103">
        <f>SUM(G96)</f>
        <v>7512</v>
      </c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AC97" s="112"/>
    </row>
    <row r="98" spans="1:29" s="2" customFormat="1" x14ac:dyDescent="0.25">
      <c r="C98" s="101"/>
      <c r="D98" s="101"/>
      <c r="E98" s="100"/>
      <c r="F98" s="100"/>
      <c r="G98" s="100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AC98" s="10"/>
    </row>
    <row r="99" spans="1:29" x14ac:dyDescent="0.25">
      <c r="A99" s="96">
        <v>6540</v>
      </c>
      <c r="B99" s="1" t="s">
        <v>196</v>
      </c>
      <c r="C99" s="42"/>
      <c r="D99" s="42"/>
      <c r="E99" s="117"/>
      <c r="F99" s="117">
        <v>7901</v>
      </c>
      <c r="G99" s="117">
        <v>407</v>
      </c>
      <c r="R99" s="42"/>
      <c r="S99" s="42"/>
      <c r="T99" s="42"/>
      <c r="U99" s="42"/>
      <c r="V99" s="42"/>
      <c r="W99" s="42"/>
      <c r="X99" s="42"/>
      <c r="Y99" s="42"/>
    </row>
    <row r="100" spans="1:29" x14ac:dyDescent="0.25">
      <c r="A100" s="96">
        <v>6620</v>
      </c>
      <c r="B100" s="1" t="s">
        <v>177</v>
      </c>
      <c r="C100" s="42">
        <v>19</v>
      </c>
      <c r="D100" s="42">
        <v>646.4</v>
      </c>
      <c r="E100" s="100">
        <v>449</v>
      </c>
      <c r="F100" s="100">
        <v>2385.5</v>
      </c>
      <c r="R100" s="42"/>
      <c r="S100" s="42"/>
      <c r="T100" s="42"/>
      <c r="U100" s="42"/>
      <c r="V100" s="42"/>
      <c r="W100" s="42"/>
      <c r="X100" s="42"/>
      <c r="Y100" s="42"/>
    </row>
    <row r="101" spans="1:29" x14ac:dyDescent="0.25">
      <c r="A101" s="96">
        <v>6630</v>
      </c>
      <c r="B101" s="1" t="s">
        <v>178</v>
      </c>
      <c r="C101" s="42">
        <v>9373.86</v>
      </c>
      <c r="D101" s="42">
        <v>8728.35</v>
      </c>
      <c r="E101" s="100">
        <v>1997.81</v>
      </c>
      <c r="F101" s="100">
        <v>9334.6</v>
      </c>
      <c r="G101" s="100">
        <v>2845.5</v>
      </c>
      <c r="R101" s="42"/>
      <c r="S101" s="42"/>
      <c r="T101" s="42"/>
      <c r="U101" s="42"/>
      <c r="V101" s="42"/>
      <c r="W101" s="42"/>
      <c r="X101" s="42"/>
      <c r="Y101" s="42"/>
    </row>
    <row r="102" spans="1:29" x14ac:dyDescent="0.25">
      <c r="A102" s="96">
        <v>6640</v>
      </c>
      <c r="B102" s="1" t="s">
        <v>179</v>
      </c>
      <c r="C102" s="42"/>
      <c r="D102" s="42"/>
      <c r="R102" s="42"/>
      <c r="S102" s="42"/>
      <c r="T102" s="42"/>
      <c r="U102" s="42"/>
      <c r="V102" s="42"/>
      <c r="W102" s="42"/>
      <c r="X102" s="42"/>
      <c r="Y102" s="42"/>
    </row>
    <row r="103" spans="1:29" x14ac:dyDescent="0.25">
      <c r="A103" s="96">
        <v>7500</v>
      </c>
      <c r="B103" s="1" t="s">
        <v>197</v>
      </c>
      <c r="C103" s="42">
        <v>15400</v>
      </c>
      <c r="D103" s="42">
        <v>8561</v>
      </c>
      <c r="E103" s="100">
        <v>8748</v>
      </c>
      <c r="F103" s="100">
        <v>8246</v>
      </c>
      <c r="G103" s="100">
        <v>8824</v>
      </c>
      <c r="R103" s="42"/>
      <c r="S103" s="42"/>
      <c r="T103" s="42"/>
      <c r="U103" s="42"/>
      <c r="V103" s="42"/>
      <c r="W103" s="42"/>
      <c r="X103" s="42"/>
      <c r="Y103" s="42"/>
    </row>
    <row r="104" spans="1:29" s="102" customFormat="1" x14ac:dyDescent="0.25">
      <c r="A104" s="102" t="s">
        <v>89</v>
      </c>
      <c r="C104" s="103">
        <f t="shared" ref="C104:D104" si="20">SUM(C100:C103)</f>
        <v>24792.86</v>
      </c>
      <c r="D104" s="103">
        <f t="shared" si="20"/>
        <v>17935.75</v>
      </c>
      <c r="E104" s="103">
        <f>SUM(E100:E103)</f>
        <v>11194.81</v>
      </c>
      <c r="F104" s="103">
        <v>27867.1</v>
      </c>
      <c r="G104" s="103">
        <f>SUM(G99:G103)</f>
        <v>12076.5</v>
      </c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AC104" s="112"/>
    </row>
    <row r="106" spans="1:29" x14ac:dyDescent="0.25">
      <c r="A106" s="96">
        <v>6610</v>
      </c>
      <c r="B106" s="1" t="s">
        <v>176</v>
      </c>
      <c r="C106" s="42">
        <v>795.2</v>
      </c>
      <c r="D106" s="42">
        <v>4946.88</v>
      </c>
      <c r="E106" s="100">
        <v>982.3</v>
      </c>
      <c r="F106" s="100">
        <v>3414.45</v>
      </c>
      <c r="R106" s="42"/>
      <c r="S106" s="42"/>
      <c r="T106" s="42"/>
      <c r="U106" s="42"/>
      <c r="V106" s="42"/>
      <c r="W106" s="42"/>
      <c r="X106" s="42"/>
      <c r="Y106" s="42"/>
    </row>
    <row r="107" spans="1:29" s="102" customFormat="1" x14ac:dyDescent="0.25">
      <c r="A107" s="102" t="s">
        <v>87</v>
      </c>
      <c r="C107" s="103">
        <f t="shared" ref="C107:D107" si="21">SUM(C106)</f>
        <v>795.2</v>
      </c>
      <c r="D107" s="103">
        <f t="shared" si="21"/>
        <v>4946.88</v>
      </c>
      <c r="E107" s="103">
        <f>SUM(E106)</f>
        <v>982.3</v>
      </c>
      <c r="F107" s="103">
        <v>3414.45</v>
      </c>
      <c r="G107" s="103">
        <f>SUM(G106)</f>
        <v>0</v>
      </c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AC107" s="112"/>
    </row>
    <row r="108" spans="1:29" s="2" customFormat="1" x14ac:dyDescent="0.25">
      <c r="E108" s="100"/>
      <c r="F108" s="100"/>
      <c r="G108" s="100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AC108" s="10"/>
    </row>
    <row r="109" spans="1:29" x14ac:dyDescent="0.25">
      <c r="A109" s="96">
        <v>6542</v>
      </c>
      <c r="B109" s="1" t="s">
        <v>123</v>
      </c>
      <c r="C109" s="42">
        <v>49947.02</v>
      </c>
      <c r="D109" s="42">
        <v>54813.1</v>
      </c>
      <c r="E109" s="100">
        <v>88097</v>
      </c>
      <c r="F109" s="100">
        <v>46211.199999999997</v>
      </c>
      <c r="R109" s="42"/>
      <c r="S109" s="42"/>
      <c r="T109" s="42"/>
      <c r="U109" s="42"/>
      <c r="V109" s="42"/>
      <c r="W109" s="42"/>
      <c r="X109" s="42"/>
      <c r="Y109" s="42"/>
    </row>
    <row r="110" spans="1:29" s="102" customFormat="1" x14ac:dyDescent="0.25">
      <c r="A110" s="102" t="s">
        <v>123</v>
      </c>
      <c r="C110" s="103">
        <f t="shared" ref="C110:D110" si="22">SUM(C109)</f>
        <v>49947.02</v>
      </c>
      <c r="D110" s="103">
        <f t="shared" si="22"/>
        <v>54813.1</v>
      </c>
      <c r="E110" s="103">
        <f>SUM(E109)</f>
        <v>88097</v>
      </c>
      <c r="F110" s="103">
        <v>46211.199999999997</v>
      </c>
      <c r="G110" s="103">
        <f>SUM(G109)</f>
        <v>0</v>
      </c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AC110" s="112"/>
    </row>
    <row r="111" spans="1:29" s="2" customFormat="1" x14ac:dyDescent="0.25">
      <c r="E111" s="100"/>
      <c r="F111" s="100"/>
      <c r="G111" s="100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AC111" s="10"/>
    </row>
    <row r="112" spans="1:29" x14ac:dyDescent="0.25">
      <c r="A112" s="96">
        <v>6440</v>
      </c>
      <c r="B112" s="1" t="s">
        <v>158</v>
      </c>
      <c r="C112" s="42"/>
      <c r="D112" s="42"/>
      <c r="R112" s="42"/>
      <c r="S112" s="42"/>
      <c r="T112" s="42"/>
      <c r="U112" s="42"/>
      <c r="V112" s="42"/>
      <c r="W112" s="42"/>
      <c r="X112" s="42"/>
      <c r="Y112" s="42"/>
    </row>
    <row r="113" spans="1:25" x14ac:dyDescent="0.25">
      <c r="A113" s="96">
        <v>6563</v>
      </c>
      <c r="B113" s="1" t="s">
        <v>170</v>
      </c>
      <c r="C113" s="42"/>
      <c r="D113" s="42"/>
      <c r="E113" s="100">
        <v>0</v>
      </c>
      <c r="R113" s="42"/>
      <c r="S113" s="42"/>
      <c r="T113" s="42"/>
      <c r="U113" s="42"/>
      <c r="V113" s="42"/>
      <c r="W113" s="42"/>
      <c r="X113" s="42"/>
      <c r="Y113" s="42"/>
    </row>
    <row r="114" spans="1:25" x14ac:dyDescent="0.25">
      <c r="A114" s="96">
        <v>6564</v>
      </c>
      <c r="B114" s="1" t="s">
        <v>171</v>
      </c>
      <c r="C114" s="42"/>
      <c r="D114" s="42"/>
      <c r="E114" s="100">
        <v>0</v>
      </c>
      <c r="R114" s="42"/>
      <c r="S114" s="42"/>
      <c r="T114" s="42"/>
      <c r="U114" s="42"/>
      <c r="V114" s="42"/>
      <c r="W114" s="42"/>
      <c r="X114" s="42"/>
      <c r="Y114" s="42"/>
    </row>
    <row r="115" spans="1:25" x14ac:dyDescent="0.25">
      <c r="A115" s="96">
        <v>6565</v>
      </c>
      <c r="B115" s="1" t="s">
        <v>172</v>
      </c>
      <c r="C115" s="42"/>
      <c r="D115" s="42"/>
      <c r="R115" s="42"/>
      <c r="S115" s="42"/>
      <c r="T115" s="42"/>
      <c r="U115" s="42"/>
      <c r="V115" s="42"/>
      <c r="W115" s="42"/>
      <c r="X115" s="42"/>
      <c r="Y115" s="42"/>
    </row>
    <row r="116" spans="1:25" x14ac:dyDescent="0.25">
      <c r="A116" s="96">
        <v>6840</v>
      </c>
      <c r="B116" s="1" t="s">
        <v>180</v>
      </c>
      <c r="C116" s="42"/>
      <c r="D116" s="42"/>
      <c r="F116" s="100">
        <v>318</v>
      </c>
      <c r="R116" s="42"/>
      <c r="S116" s="42"/>
      <c r="T116" s="42"/>
      <c r="U116" s="42"/>
      <c r="V116" s="42"/>
      <c r="W116" s="42"/>
      <c r="X116" s="42"/>
      <c r="Y116" s="42"/>
    </row>
    <row r="117" spans="1:25" x14ac:dyDescent="0.25">
      <c r="A117" s="96">
        <v>6860</v>
      </c>
      <c r="B117" s="1" t="s">
        <v>181</v>
      </c>
      <c r="C117" s="42">
        <f>1125.6-285.9</f>
        <v>839.69999999999993</v>
      </c>
      <c r="D117" s="42"/>
      <c r="E117" s="100">
        <v>165</v>
      </c>
      <c r="F117" s="100">
        <v>3342.6</v>
      </c>
      <c r="G117" s="100">
        <v>365</v>
      </c>
      <c r="R117" s="42"/>
      <c r="S117" s="42"/>
      <c r="T117" s="42"/>
      <c r="U117" s="42"/>
      <c r="V117" s="42"/>
      <c r="W117" s="42"/>
      <c r="X117" s="42"/>
      <c r="Y117" s="42"/>
    </row>
    <row r="118" spans="1:25" x14ac:dyDescent="0.25">
      <c r="A118" s="96">
        <v>6865</v>
      </c>
      <c r="B118" s="1" t="s">
        <v>182</v>
      </c>
      <c r="C118" s="42"/>
      <c r="D118" s="42"/>
      <c r="R118" s="42"/>
      <c r="S118" s="42"/>
      <c r="T118" s="42"/>
      <c r="U118" s="42"/>
      <c r="V118" s="42"/>
      <c r="W118" s="42"/>
      <c r="X118" s="42"/>
      <c r="Y118" s="42"/>
    </row>
    <row r="119" spans="1:25" x14ac:dyDescent="0.25">
      <c r="A119" s="96">
        <v>6890</v>
      </c>
      <c r="B119" s="1" t="s">
        <v>183</v>
      </c>
      <c r="C119" s="42">
        <v>2685</v>
      </c>
      <c r="D119" s="42">
        <v>2685</v>
      </c>
      <c r="E119" s="100">
        <v>3339.56</v>
      </c>
      <c r="F119" s="100">
        <v>3504.8</v>
      </c>
      <c r="G119" s="100">
        <v>3735</v>
      </c>
      <c r="R119" s="42"/>
      <c r="S119" s="42"/>
      <c r="T119" s="42"/>
      <c r="U119" s="42"/>
      <c r="V119" s="42"/>
      <c r="W119" s="42"/>
      <c r="X119" s="42"/>
      <c r="Y119" s="42"/>
    </row>
    <row r="120" spans="1:25" x14ac:dyDescent="0.25">
      <c r="A120" s="96">
        <v>6940</v>
      </c>
      <c r="B120" s="1" t="s">
        <v>184</v>
      </c>
      <c r="C120" s="42"/>
      <c r="D120" s="42"/>
      <c r="R120" s="42"/>
      <c r="S120" s="42"/>
      <c r="T120" s="42"/>
      <c r="U120" s="42"/>
      <c r="V120" s="42"/>
      <c r="W120" s="42"/>
      <c r="X120" s="42"/>
      <c r="Y120" s="42"/>
    </row>
    <row r="121" spans="1:25" x14ac:dyDescent="0.25">
      <c r="A121" s="96">
        <v>7300</v>
      </c>
      <c r="B121" s="1" t="s">
        <v>185</v>
      </c>
      <c r="C121" s="42"/>
      <c r="D121" s="42"/>
      <c r="R121" s="42"/>
      <c r="S121" s="42"/>
      <c r="T121" s="42"/>
      <c r="U121" s="42"/>
      <c r="V121" s="42"/>
      <c r="W121" s="42"/>
      <c r="X121" s="42"/>
      <c r="Y121" s="42"/>
    </row>
    <row r="122" spans="1:25" x14ac:dyDescent="0.25">
      <c r="A122" s="96">
        <v>7310</v>
      </c>
      <c r="B122" s="1" t="s">
        <v>186</v>
      </c>
      <c r="C122" s="42">
        <v>2200</v>
      </c>
      <c r="D122" s="42">
        <v>1210</v>
      </c>
      <c r="R122" s="42"/>
      <c r="S122" s="42"/>
      <c r="T122" s="42"/>
      <c r="U122" s="42"/>
      <c r="V122" s="42"/>
      <c r="W122" s="42"/>
      <c r="X122" s="42"/>
      <c r="Y122" s="42"/>
    </row>
    <row r="123" spans="1:25" x14ac:dyDescent="0.25">
      <c r="A123" s="96">
        <v>7320</v>
      </c>
      <c r="B123" s="1" t="s">
        <v>219</v>
      </c>
      <c r="C123" s="42"/>
      <c r="D123" s="42"/>
      <c r="F123" s="100">
        <v>4000</v>
      </c>
      <c r="R123" s="42"/>
      <c r="S123" s="42"/>
      <c r="T123" s="42"/>
      <c r="U123" s="42"/>
      <c r="V123" s="42"/>
      <c r="W123" s="42"/>
      <c r="X123" s="42"/>
      <c r="Y123" s="42"/>
    </row>
    <row r="124" spans="1:25" x14ac:dyDescent="0.25">
      <c r="A124" s="96">
        <v>7395</v>
      </c>
      <c r="B124" s="1" t="s">
        <v>188</v>
      </c>
      <c r="C124" s="42"/>
      <c r="D124" s="42">
        <v>56.87</v>
      </c>
      <c r="E124" s="100">
        <v>220.5</v>
      </c>
      <c r="F124" s="100">
        <v>0</v>
      </c>
      <c r="R124" s="42"/>
      <c r="S124" s="42"/>
      <c r="T124" s="42"/>
      <c r="U124" s="42"/>
      <c r="V124" s="42"/>
      <c r="W124" s="42"/>
      <c r="X124" s="42"/>
      <c r="Y124" s="42"/>
    </row>
    <row r="125" spans="1:25" x14ac:dyDescent="0.25">
      <c r="A125" s="96">
        <v>7411</v>
      </c>
      <c r="B125" s="1" t="s">
        <v>190</v>
      </c>
      <c r="C125" s="42">
        <v>4343</v>
      </c>
      <c r="D125" s="42">
        <v>5268</v>
      </c>
      <c r="E125" s="100">
        <v>2850</v>
      </c>
      <c r="F125" s="100">
        <v>5367</v>
      </c>
      <c r="G125" s="100">
        <v>2387</v>
      </c>
      <c r="R125" s="42"/>
      <c r="S125" s="42"/>
      <c r="T125" s="42"/>
      <c r="U125" s="42"/>
      <c r="V125" s="42"/>
      <c r="W125" s="42"/>
      <c r="X125" s="42"/>
      <c r="Y125" s="42"/>
    </row>
    <row r="126" spans="1:25" x14ac:dyDescent="0.25">
      <c r="A126" s="96">
        <v>7420</v>
      </c>
      <c r="B126" s="1" t="s">
        <v>191</v>
      </c>
      <c r="C126" s="42">
        <v>1605.27</v>
      </c>
      <c r="D126" s="42">
        <v>1699</v>
      </c>
      <c r="E126" s="100">
        <v>2550</v>
      </c>
      <c r="F126" s="100">
        <v>1650</v>
      </c>
      <c r="G126" s="100">
        <v>690</v>
      </c>
      <c r="R126" s="42"/>
      <c r="S126" s="42"/>
      <c r="T126" s="42"/>
      <c r="U126" s="42"/>
      <c r="V126" s="42"/>
      <c r="W126" s="42"/>
      <c r="X126" s="42"/>
      <c r="Y126" s="42"/>
    </row>
    <row r="127" spans="1:25" x14ac:dyDescent="0.25">
      <c r="A127" s="96">
        <v>7500</v>
      </c>
      <c r="B127" s="1" t="s">
        <v>197</v>
      </c>
      <c r="C127" s="42">
        <v>15400</v>
      </c>
      <c r="D127" s="42">
        <v>587</v>
      </c>
      <c r="E127" s="100">
        <v>636</v>
      </c>
      <c r="F127" s="100">
        <v>1783</v>
      </c>
      <c r="G127" s="100">
        <v>1172</v>
      </c>
      <c r="R127" s="42"/>
      <c r="S127" s="42"/>
      <c r="T127" s="42"/>
      <c r="U127" s="42"/>
      <c r="V127" s="42"/>
      <c r="W127" s="42"/>
      <c r="X127" s="42"/>
      <c r="Y127" s="42"/>
    </row>
    <row r="128" spans="1:25" x14ac:dyDescent="0.25">
      <c r="A128" s="96">
        <v>7770</v>
      </c>
      <c r="B128" s="1" t="s">
        <v>192</v>
      </c>
      <c r="C128" s="42">
        <v>1518.52</v>
      </c>
      <c r="D128" s="42">
        <v>1171.6099999999999</v>
      </c>
      <c r="E128" s="100">
        <v>1358.12</v>
      </c>
      <c r="F128" s="100">
        <v>297.98</v>
      </c>
      <c r="G128" s="100">
        <v>855.78</v>
      </c>
      <c r="R128" s="42"/>
      <c r="S128" s="42"/>
      <c r="T128" s="42"/>
      <c r="U128" s="42"/>
      <c r="V128" s="42"/>
      <c r="W128" s="42"/>
      <c r="X128" s="42"/>
      <c r="Y128" s="42"/>
    </row>
    <row r="129" spans="1:29" x14ac:dyDescent="0.25">
      <c r="A129" s="96">
        <v>7775</v>
      </c>
      <c r="B129" s="1" t="s">
        <v>193</v>
      </c>
      <c r="C129" s="42"/>
      <c r="D129" s="42"/>
      <c r="F129" s="100">
        <v>562.58000000000004</v>
      </c>
      <c r="G129" s="100">
        <v>83.58</v>
      </c>
      <c r="R129" s="42"/>
      <c r="S129" s="42"/>
      <c r="T129" s="42"/>
      <c r="U129" s="42"/>
      <c r="V129" s="42"/>
      <c r="W129" s="42"/>
      <c r="X129" s="42"/>
      <c r="Y129" s="42"/>
    </row>
    <row r="130" spans="1:29" x14ac:dyDescent="0.25">
      <c r="A130" s="96">
        <v>7790</v>
      </c>
      <c r="B130" s="1" t="s">
        <v>194</v>
      </c>
      <c r="C130" s="42"/>
      <c r="D130" s="42">
        <v>3712</v>
      </c>
      <c r="F130" s="100">
        <v>2071.3000000000002</v>
      </c>
      <c r="G130" s="100">
        <v>2127</v>
      </c>
      <c r="R130" s="42"/>
      <c r="S130" s="42"/>
      <c r="T130" s="42"/>
      <c r="U130" s="42"/>
      <c r="V130" s="42"/>
      <c r="W130" s="42"/>
      <c r="X130" s="42"/>
      <c r="Y130" s="42"/>
    </row>
    <row r="131" spans="1:29" s="102" customFormat="1" x14ac:dyDescent="0.25">
      <c r="A131" s="102" t="s">
        <v>28</v>
      </c>
      <c r="C131" s="103">
        <f>SUM(C112:C130)</f>
        <v>28591.49</v>
      </c>
      <c r="D131" s="103">
        <f>SUM(D112:D130)</f>
        <v>16389.48</v>
      </c>
      <c r="E131" s="103">
        <f>SUM(E112:E130)</f>
        <v>11119.18</v>
      </c>
      <c r="F131" s="103">
        <v>22897.260000000002</v>
      </c>
      <c r="G131" s="103">
        <f>SUM(G112:G130)</f>
        <v>11415.36</v>
      </c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AC131" s="112"/>
    </row>
    <row r="133" spans="1:29" x14ac:dyDescent="0.25">
      <c r="A133" s="96">
        <v>6555</v>
      </c>
      <c r="B133" s="1" t="s">
        <v>164</v>
      </c>
      <c r="C133" s="42">
        <v>314.5</v>
      </c>
      <c r="D133" s="42">
        <v>1335.47</v>
      </c>
      <c r="E133" s="100">
        <v>4294.72</v>
      </c>
      <c r="F133" s="100">
        <v>0</v>
      </c>
      <c r="G133" s="100">
        <v>0</v>
      </c>
      <c r="R133" s="42"/>
      <c r="S133" s="42"/>
      <c r="T133" s="42"/>
      <c r="U133" s="42"/>
      <c r="V133" s="42"/>
      <c r="W133" s="42"/>
      <c r="X133" s="42"/>
      <c r="Y133" s="42"/>
    </row>
    <row r="134" spans="1:29" x14ac:dyDescent="0.25">
      <c r="A134" s="96">
        <v>6556</v>
      </c>
      <c r="B134" s="1" t="s">
        <v>165</v>
      </c>
      <c r="C134" s="42">
        <v>39409.589999999997</v>
      </c>
      <c r="D134" s="42">
        <v>103745.41</v>
      </c>
      <c r="E134" s="100">
        <v>25378.2</v>
      </c>
      <c r="F134" s="100">
        <v>0</v>
      </c>
      <c r="G134" s="100">
        <v>0</v>
      </c>
      <c r="R134" s="42"/>
      <c r="S134" s="42"/>
      <c r="T134" s="42"/>
      <c r="U134" s="42"/>
      <c r="V134" s="42"/>
      <c r="W134" s="42"/>
      <c r="X134" s="42"/>
      <c r="Y134" s="42"/>
    </row>
    <row r="135" spans="1:29" x14ac:dyDescent="0.25">
      <c r="A135" s="96">
        <v>6557</v>
      </c>
      <c r="B135" s="1" t="s">
        <v>166</v>
      </c>
      <c r="C135" s="42"/>
      <c r="D135" s="42">
        <v>50000</v>
      </c>
      <c r="E135" s="100">
        <v>65280</v>
      </c>
      <c r="F135" s="100">
        <v>0</v>
      </c>
      <c r="G135" s="100">
        <v>0</v>
      </c>
      <c r="R135" s="42"/>
      <c r="S135" s="42"/>
      <c r="T135" s="42"/>
      <c r="U135" s="42"/>
      <c r="V135" s="42"/>
      <c r="W135" s="42"/>
      <c r="X135" s="42"/>
      <c r="Y135" s="42"/>
    </row>
    <row r="136" spans="1:29" x14ac:dyDescent="0.25">
      <c r="A136" s="96">
        <v>7320</v>
      </c>
      <c r="B136" s="1" t="s">
        <v>204</v>
      </c>
      <c r="C136" s="42"/>
      <c r="D136" s="42"/>
      <c r="E136" s="100">
        <v>1556</v>
      </c>
      <c r="F136" s="100">
        <v>0</v>
      </c>
      <c r="G136" s="100">
        <v>0</v>
      </c>
      <c r="R136" s="42"/>
      <c r="S136" s="42"/>
      <c r="T136" s="42"/>
      <c r="U136" s="42"/>
      <c r="V136" s="42"/>
      <c r="W136" s="42"/>
      <c r="X136" s="42"/>
      <c r="Y136" s="42"/>
    </row>
    <row r="137" spans="1:29" s="102" customFormat="1" x14ac:dyDescent="0.25">
      <c r="A137" s="102" t="s">
        <v>46</v>
      </c>
      <c r="C137" s="103">
        <f t="shared" ref="C137:D137" si="23">SUM(C133:C135)</f>
        <v>39724.089999999997</v>
      </c>
      <c r="D137" s="103">
        <f t="shared" si="23"/>
        <v>155080.88</v>
      </c>
      <c r="E137" s="103">
        <f>SUM(E133:E136)</f>
        <v>96508.92</v>
      </c>
      <c r="F137" s="103">
        <v>0</v>
      </c>
      <c r="G137" s="103">
        <f>SUM(G133:G136)</f>
        <v>0</v>
      </c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AC137" s="112"/>
    </row>
    <row r="139" spans="1:29" s="109" customFormat="1" x14ac:dyDescent="0.25">
      <c r="A139" s="108" t="s">
        <v>36</v>
      </c>
      <c r="C139" s="111">
        <f>C67+C70+C83+C87+C91+C94+C97+C104+C107+C110+C131+C137</f>
        <v>278388.68</v>
      </c>
      <c r="D139" s="111">
        <f>D67+D70+D83+D87+D91+D94+D97+D104+D107+D110+D131+D137</f>
        <v>414714.76</v>
      </c>
      <c r="E139" s="111">
        <f>E67+E70+E83+E87+E91+E94+E97+E104+E107+E110+E131+E137</f>
        <v>441338.57999999996</v>
      </c>
      <c r="F139" s="111">
        <v>421406.94</v>
      </c>
      <c r="G139" s="111">
        <f>G67+G70+G83+G87+G91+G94+G97+G104+G107+G110+G131+G137</f>
        <v>123346.44</v>
      </c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AC139" s="113"/>
    </row>
    <row r="165" spans="3:25" x14ac:dyDescent="0.25">
      <c r="C165" s="42"/>
      <c r="D165" s="42"/>
      <c r="R165" s="42"/>
      <c r="S165" s="42"/>
      <c r="T165" s="42"/>
      <c r="U165" s="42"/>
      <c r="V165" s="42"/>
      <c r="W165" s="42"/>
      <c r="X165" s="42"/>
      <c r="Y165" s="42"/>
    </row>
    <row r="166" spans="3:25" x14ac:dyDescent="0.25">
      <c r="R166" s="42"/>
      <c r="S166" s="42"/>
      <c r="T166" s="42"/>
      <c r="U166" s="42"/>
      <c r="V166" s="42"/>
      <c r="W166" s="42"/>
      <c r="X166" s="42"/>
      <c r="Y166" s="42"/>
    </row>
    <row r="167" spans="3:25" x14ac:dyDescent="0.25">
      <c r="R167" s="42"/>
      <c r="S167" s="42"/>
      <c r="T167" s="42"/>
      <c r="U167" s="42"/>
      <c r="V167" s="42"/>
      <c r="W167" s="42"/>
      <c r="X167" s="42"/>
      <c r="Y167" s="42"/>
    </row>
    <row r="168" spans="3:25" x14ac:dyDescent="0.25">
      <c r="R168" s="42"/>
      <c r="S168" s="42"/>
      <c r="T168" s="42"/>
      <c r="U168" s="42"/>
      <c r="V168" s="42"/>
      <c r="W168" s="42"/>
      <c r="X168" s="42"/>
      <c r="Y168" s="42"/>
    </row>
    <row r="169" spans="3:25" x14ac:dyDescent="0.25">
      <c r="R169" s="42"/>
      <c r="S169" s="42"/>
      <c r="T169" s="42"/>
      <c r="U169" s="42"/>
      <c r="V169" s="42"/>
      <c r="W169" s="42"/>
      <c r="X169" s="42"/>
      <c r="Y169" s="42"/>
    </row>
    <row r="170" spans="3:25" x14ac:dyDescent="0.25">
      <c r="R170" s="42"/>
      <c r="S170" s="42"/>
      <c r="T170" s="42"/>
      <c r="U170" s="42"/>
      <c r="V170" s="42"/>
      <c r="W170" s="42"/>
      <c r="X170" s="42"/>
      <c r="Y170" s="42"/>
    </row>
    <row r="171" spans="3:25" x14ac:dyDescent="0.25">
      <c r="R171" s="42"/>
      <c r="S171" s="42"/>
      <c r="T171" s="42"/>
      <c r="U171" s="42"/>
      <c r="V171" s="42"/>
      <c r="W171" s="42"/>
      <c r="X171" s="42"/>
      <c r="Y171" s="42"/>
    </row>
    <row r="172" spans="3:25" x14ac:dyDescent="0.25">
      <c r="R172" s="42"/>
      <c r="S172" s="42"/>
      <c r="T172" s="42"/>
      <c r="U172" s="42"/>
      <c r="V172" s="42"/>
      <c r="W172" s="42"/>
      <c r="X172" s="42"/>
      <c r="Y172" s="42"/>
    </row>
    <row r="173" spans="3:25" x14ac:dyDescent="0.25">
      <c r="R173" s="42"/>
      <c r="S173" s="42"/>
      <c r="T173" s="42"/>
      <c r="U173" s="42"/>
      <c r="V173" s="42"/>
      <c r="W173" s="42"/>
      <c r="X173" s="42"/>
      <c r="Y173" s="42"/>
    </row>
    <row r="174" spans="3:25" x14ac:dyDescent="0.25">
      <c r="R174" s="42"/>
      <c r="S174" s="42"/>
      <c r="T174" s="42"/>
      <c r="U174" s="42"/>
      <c r="V174" s="42"/>
      <c r="W174" s="42"/>
      <c r="X174" s="42"/>
      <c r="Y174" s="42"/>
    </row>
    <row r="175" spans="3:25" x14ac:dyDescent="0.25">
      <c r="R175" s="42"/>
      <c r="S175" s="42"/>
      <c r="T175" s="42"/>
      <c r="U175" s="42"/>
      <c r="V175" s="42"/>
      <c r="W175" s="42"/>
      <c r="X175" s="42"/>
      <c r="Y175" s="42"/>
    </row>
    <row r="176" spans="3:25" x14ac:dyDescent="0.25">
      <c r="R176" s="42"/>
      <c r="S176" s="42"/>
      <c r="T176" s="42"/>
      <c r="U176" s="42"/>
      <c r="V176" s="42"/>
      <c r="W176" s="42"/>
      <c r="X176" s="42"/>
      <c r="Y176" s="42"/>
    </row>
    <row r="177" spans="18:25" x14ac:dyDescent="0.25">
      <c r="R177" s="42"/>
      <c r="S177" s="42"/>
      <c r="T177" s="42"/>
      <c r="U177" s="42"/>
      <c r="V177" s="42"/>
      <c r="W177" s="42"/>
      <c r="X177" s="42"/>
      <c r="Y177" s="42"/>
    </row>
    <row r="178" spans="18:25" x14ac:dyDescent="0.25">
      <c r="R178" s="42"/>
      <c r="S178" s="42"/>
      <c r="T178" s="42"/>
      <c r="U178" s="42"/>
      <c r="V178" s="42"/>
      <c r="W178" s="42"/>
      <c r="X178" s="42"/>
      <c r="Y178" s="42"/>
    </row>
    <row r="179" spans="18:25" x14ac:dyDescent="0.25">
      <c r="R179" s="42"/>
      <c r="S179" s="42"/>
      <c r="T179" s="42"/>
      <c r="U179" s="42"/>
      <c r="V179" s="42"/>
      <c r="W179" s="42"/>
      <c r="X179" s="42"/>
      <c r="Y179" s="42"/>
    </row>
    <row r="180" spans="18:25" x14ac:dyDescent="0.25">
      <c r="R180" s="42"/>
      <c r="S180" s="42"/>
      <c r="T180" s="42"/>
      <c r="U180" s="42"/>
      <c r="V180" s="42"/>
      <c r="W180" s="42"/>
      <c r="X180" s="42"/>
      <c r="Y180" s="42"/>
    </row>
    <row r="181" spans="18:25" x14ac:dyDescent="0.25">
      <c r="R181" s="42"/>
      <c r="S181" s="42"/>
      <c r="T181" s="42"/>
      <c r="U181" s="42"/>
      <c r="V181" s="42"/>
      <c r="W181" s="42"/>
      <c r="X181" s="42"/>
      <c r="Y181" s="42"/>
    </row>
    <row r="182" spans="18:25" x14ac:dyDescent="0.25">
      <c r="R182" s="42"/>
      <c r="S182" s="42"/>
      <c r="T182" s="42"/>
      <c r="U182" s="42"/>
      <c r="V182" s="42"/>
      <c r="W182" s="42"/>
      <c r="X182" s="42"/>
      <c r="Y182" s="42"/>
    </row>
    <row r="183" spans="18:25" x14ac:dyDescent="0.25">
      <c r="R183" s="42"/>
      <c r="S183" s="42"/>
      <c r="T183" s="42"/>
      <c r="U183" s="42"/>
      <c r="V183" s="42"/>
      <c r="W183" s="42"/>
      <c r="X183" s="42"/>
      <c r="Y183" s="42"/>
    </row>
    <row r="184" spans="18:25" x14ac:dyDescent="0.25">
      <c r="R184" s="42"/>
      <c r="S184" s="42"/>
      <c r="T184" s="42"/>
      <c r="U184" s="42"/>
      <c r="V184" s="42"/>
      <c r="W184" s="42"/>
      <c r="X184" s="42"/>
      <c r="Y184" s="42"/>
    </row>
    <row r="185" spans="18:25" x14ac:dyDescent="0.25">
      <c r="R185" s="42"/>
      <c r="S185" s="42"/>
      <c r="T185" s="42"/>
      <c r="U185" s="42"/>
      <c r="V185" s="42"/>
      <c r="W185" s="42"/>
      <c r="X185" s="42"/>
      <c r="Y185" s="42"/>
    </row>
    <row r="186" spans="18:25" x14ac:dyDescent="0.25">
      <c r="R186" s="42"/>
      <c r="S186" s="42"/>
      <c r="T186" s="42"/>
      <c r="U186" s="42"/>
      <c r="V186" s="42"/>
      <c r="W186" s="42"/>
      <c r="X186" s="42"/>
      <c r="Y186" s="42"/>
    </row>
    <row r="187" spans="18:25" x14ac:dyDescent="0.25">
      <c r="R187" s="42"/>
      <c r="S187" s="42"/>
      <c r="T187" s="42"/>
      <c r="U187" s="42"/>
      <c r="V187" s="42"/>
      <c r="W187" s="42"/>
      <c r="X187" s="42"/>
      <c r="Y187" s="42"/>
    </row>
    <row r="188" spans="18:25" x14ac:dyDescent="0.25">
      <c r="R188" s="42"/>
      <c r="S188" s="42"/>
      <c r="T188" s="42"/>
      <c r="U188" s="42"/>
      <c r="V188" s="42"/>
      <c r="W188" s="42"/>
      <c r="X188" s="42"/>
      <c r="Y188" s="42"/>
    </row>
    <row r="189" spans="18:25" x14ac:dyDescent="0.25">
      <c r="R189" s="42"/>
      <c r="S189" s="42"/>
      <c r="T189" s="42"/>
      <c r="U189" s="42"/>
      <c r="V189" s="42"/>
      <c r="W189" s="42"/>
      <c r="X189" s="42"/>
      <c r="Y189" s="42"/>
    </row>
    <row r="190" spans="18:25" x14ac:dyDescent="0.25">
      <c r="R190" s="42"/>
      <c r="S190" s="42"/>
      <c r="T190" s="42"/>
      <c r="U190" s="42"/>
      <c r="V190" s="42"/>
      <c r="W190" s="42"/>
      <c r="X190" s="42"/>
      <c r="Y190" s="42"/>
    </row>
    <row r="191" spans="18:25" x14ac:dyDescent="0.25">
      <c r="R191" s="42"/>
      <c r="S191" s="42"/>
      <c r="T191" s="42"/>
      <c r="U191" s="42"/>
      <c r="V191" s="42"/>
      <c r="W191" s="42"/>
      <c r="X191" s="42"/>
      <c r="Y191" s="42"/>
    </row>
    <row r="192" spans="18:25" x14ac:dyDescent="0.25">
      <c r="R192" s="42"/>
      <c r="S192" s="42"/>
      <c r="T192" s="42"/>
      <c r="U192" s="42"/>
      <c r="V192" s="42"/>
      <c r="W192" s="42"/>
      <c r="X192" s="42"/>
      <c r="Y192" s="42"/>
    </row>
    <row r="193" spans="18:25" x14ac:dyDescent="0.25">
      <c r="R193" s="42"/>
      <c r="S193" s="42"/>
      <c r="T193" s="42"/>
      <c r="U193" s="42"/>
      <c r="V193" s="42"/>
      <c r="W193" s="42"/>
      <c r="X193" s="42"/>
      <c r="Y193" s="42"/>
    </row>
    <row r="194" spans="18:25" x14ac:dyDescent="0.25">
      <c r="R194" s="42"/>
      <c r="S194" s="42"/>
      <c r="T194" s="42"/>
      <c r="U194" s="42"/>
      <c r="V194" s="42"/>
      <c r="W194" s="42"/>
      <c r="X194" s="42"/>
      <c r="Y194" s="42"/>
    </row>
    <row r="195" spans="18:25" x14ac:dyDescent="0.25">
      <c r="R195" s="42"/>
      <c r="S195" s="42"/>
      <c r="T195" s="42"/>
      <c r="U195" s="42"/>
      <c r="V195" s="42"/>
      <c r="W195" s="42"/>
      <c r="X195" s="42"/>
      <c r="Y195" s="42"/>
    </row>
    <row r="196" spans="18:25" x14ac:dyDescent="0.25">
      <c r="R196" s="42"/>
      <c r="S196" s="42"/>
      <c r="T196" s="42"/>
      <c r="U196" s="42"/>
      <c r="V196" s="42"/>
      <c r="W196" s="42"/>
      <c r="X196" s="42"/>
      <c r="Y196" s="42"/>
    </row>
    <row r="197" spans="18:25" x14ac:dyDescent="0.25">
      <c r="R197" s="42"/>
      <c r="S197" s="42"/>
      <c r="T197" s="42"/>
      <c r="U197" s="42"/>
      <c r="V197" s="42"/>
      <c r="W197" s="42"/>
      <c r="X197" s="42"/>
      <c r="Y197" s="42"/>
    </row>
    <row r="198" spans="18:25" x14ac:dyDescent="0.25">
      <c r="R198" s="42"/>
      <c r="S198" s="42"/>
      <c r="T198" s="42"/>
      <c r="U198" s="42"/>
      <c r="V198" s="42"/>
      <c r="W198" s="42"/>
      <c r="X198" s="42"/>
      <c r="Y198" s="42"/>
    </row>
    <row r="199" spans="18:25" x14ac:dyDescent="0.25">
      <c r="R199" s="42"/>
      <c r="S199" s="42"/>
      <c r="T199" s="42"/>
      <c r="U199" s="42"/>
      <c r="V199" s="42"/>
      <c r="W199" s="42"/>
      <c r="X199" s="42"/>
      <c r="Y199" s="42"/>
    </row>
    <row r="200" spans="18:25" x14ac:dyDescent="0.25">
      <c r="R200" s="42"/>
      <c r="S200" s="42"/>
      <c r="T200" s="42"/>
      <c r="U200" s="42"/>
      <c r="V200" s="42"/>
      <c r="W200" s="42"/>
      <c r="X200" s="42"/>
      <c r="Y200" s="42"/>
    </row>
    <row r="201" spans="18:25" x14ac:dyDescent="0.25">
      <c r="R201" s="42"/>
      <c r="S201" s="42"/>
      <c r="T201" s="42"/>
      <c r="U201" s="42"/>
      <c r="V201" s="42"/>
      <c r="W201" s="42"/>
      <c r="X201" s="42"/>
      <c r="Y201" s="42"/>
    </row>
    <row r="202" spans="18:25" x14ac:dyDescent="0.25">
      <c r="R202" s="42"/>
      <c r="S202" s="42"/>
      <c r="T202" s="42"/>
      <c r="U202" s="42"/>
      <c r="V202" s="42"/>
      <c r="W202" s="42"/>
      <c r="X202" s="42"/>
      <c r="Y202" s="42"/>
    </row>
    <row r="203" spans="18:25" x14ac:dyDescent="0.25">
      <c r="R203" s="42"/>
      <c r="S203" s="42"/>
      <c r="T203" s="42"/>
      <c r="U203" s="42"/>
      <c r="V203" s="42"/>
      <c r="W203" s="42"/>
      <c r="X203" s="42"/>
      <c r="Y203" s="42"/>
    </row>
    <row r="204" spans="18:25" x14ac:dyDescent="0.25">
      <c r="R204" s="42"/>
      <c r="S204" s="42"/>
      <c r="T204" s="42"/>
      <c r="U204" s="42"/>
      <c r="V204" s="42"/>
      <c r="W204" s="42"/>
      <c r="X204" s="42"/>
      <c r="Y204" s="42"/>
    </row>
    <row r="205" spans="18:25" x14ac:dyDescent="0.25">
      <c r="R205" s="42"/>
      <c r="S205" s="42"/>
      <c r="T205" s="42"/>
      <c r="U205" s="42"/>
      <c r="V205" s="42"/>
      <c r="W205" s="42"/>
      <c r="X205" s="42"/>
      <c r="Y205" s="42"/>
    </row>
    <row r="206" spans="18:25" x14ac:dyDescent="0.25">
      <c r="R206" s="42"/>
      <c r="S206" s="42"/>
      <c r="T206" s="42"/>
      <c r="U206" s="42"/>
      <c r="V206" s="42"/>
      <c r="W206" s="42"/>
      <c r="X206" s="42"/>
      <c r="Y206" s="42"/>
    </row>
    <row r="207" spans="18:25" x14ac:dyDescent="0.25">
      <c r="R207" s="42"/>
      <c r="S207" s="42"/>
      <c r="T207" s="42"/>
      <c r="U207" s="42"/>
      <c r="V207" s="42"/>
      <c r="W207" s="42"/>
      <c r="X207" s="42"/>
      <c r="Y207" s="42"/>
    </row>
    <row r="208" spans="18:25" x14ac:dyDescent="0.25">
      <c r="R208" s="42"/>
      <c r="S208" s="42"/>
      <c r="T208" s="42"/>
      <c r="U208" s="42"/>
      <c r="V208" s="42"/>
      <c r="W208" s="42"/>
      <c r="X208" s="42"/>
      <c r="Y208" s="42"/>
    </row>
    <row r="209" spans="18:25" x14ac:dyDescent="0.25">
      <c r="R209" s="42"/>
      <c r="S209" s="42"/>
      <c r="T209" s="42"/>
      <c r="U209" s="42"/>
      <c r="V209" s="42"/>
      <c r="W209" s="42"/>
      <c r="X209" s="42"/>
      <c r="Y209" s="42"/>
    </row>
    <row r="210" spans="18:25" x14ac:dyDescent="0.25">
      <c r="R210" s="42"/>
      <c r="S210" s="42"/>
      <c r="T210" s="42"/>
      <c r="U210" s="42"/>
      <c r="V210" s="42"/>
      <c r="W210" s="42"/>
      <c r="X210" s="42"/>
      <c r="Y210" s="42"/>
    </row>
    <row r="211" spans="18:25" x14ac:dyDescent="0.25">
      <c r="R211" s="42"/>
      <c r="S211" s="42"/>
      <c r="T211" s="42"/>
      <c r="U211" s="42"/>
      <c r="V211" s="42"/>
      <c r="W211" s="42"/>
      <c r="X211" s="42"/>
      <c r="Y211" s="42"/>
    </row>
    <row r="212" spans="18:25" x14ac:dyDescent="0.25">
      <c r="R212" s="42"/>
      <c r="S212" s="42"/>
      <c r="T212" s="42"/>
      <c r="U212" s="42"/>
      <c r="V212" s="42"/>
      <c r="W212" s="42"/>
      <c r="X212" s="42"/>
      <c r="Y212" s="42"/>
    </row>
    <row r="213" spans="18:25" x14ac:dyDescent="0.25">
      <c r="R213" s="42"/>
      <c r="S213" s="42"/>
      <c r="T213" s="42"/>
      <c r="U213" s="42"/>
      <c r="V213" s="42"/>
      <c r="W213" s="42"/>
      <c r="X213" s="42"/>
      <c r="Y213" s="42"/>
    </row>
    <row r="214" spans="18:25" x14ac:dyDescent="0.25">
      <c r="R214" s="42"/>
      <c r="S214" s="42"/>
      <c r="T214" s="42"/>
      <c r="U214" s="42"/>
      <c r="V214" s="42"/>
      <c r="W214" s="42"/>
      <c r="X214" s="42"/>
      <c r="Y214" s="42"/>
    </row>
    <row r="215" spans="18:25" x14ac:dyDescent="0.25">
      <c r="R215" s="42"/>
      <c r="S215" s="42"/>
      <c r="T215" s="42"/>
      <c r="U215" s="42"/>
      <c r="V215" s="42"/>
      <c r="W215" s="42"/>
      <c r="X215" s="42"/>
      <c r="Y215" s="42"/>
    </row>
    <row r="216" spans="18:25" x14ac:dyDescent="0.25">
      <c r="R216" s="42"/>
      <c r="S216" s="42"/>
      <c r="T216" s="42"/>
      <c r="U216" s="42"/>
      <c r="V216" s="42"/>
      <c r="W216" s="42"/>
      <c r="X216" s="42"/>
      <c r="Y216" s="42"/>
    </row>
    <row r="217" spans="18:25" x14ac:dyDescent="0.25">
      <c r="R217" s="42"/>
      <c r="S217" s="42"/>
      <c r="T217" s="42"/>
      <c r="U217" s="42"/>
      <c r="V217" s="42"/>
      <c r="W217" s="42"/>
      <c r="X217" s="42"/>
      <c r="Y217" s="42"/>
    </row>
    <row r="218" spans="18:25" x14ac:dyDescent="0.25">
      <c r="R218" s="42"/>
      <c r="S218" s="42"/>
      <c r="T218" s="42"/>
      <c r="U218" s="42"/>
      <c r="V218" s="42"/>
      <c r="W218" s="42"/>
      <c r="X218" s="42"/>
      <c r="Y218" s="42"/>
    </row>
    <row r="219" spans="18:25" x14ac:dyDescent="0.25">
      <c r="R219" s="42"/>
      <c r="S219" s="42"/>
      <c r="T219" s="42"/>
      <c r="U219" s="42"/>
      <c r="V219" s="42"/>
      <c r="W219" s="42"/>
      <c r="X219" s="42"/>
      <c r="Y219" s="42"/>
    </row>
    <row r="220" spans="18:25" x14ac:dyDescent="0.25">
      <c r="R220" s="42"/>
      <c r="S220" s="42"/>
      <c r="T220" s="42"/>
      <c r="U220" s="42"/>
      <c r="V220" s="42"/>
      <c r="W220" s="42"/>
      <c r="X220" s="42"/>
      <c r="Y220" s="42"/>
    </row>
    <row r="221" spans="18:25" x14ac:dyDescent="0.25">
      <c r="R221" s="42"/>
      <c r="S221" s="42"/>
      <c r="T221" s="42"/>
      <c r="U221" s="42"/>
      <c r="V221" s="42"/>
      <c r="W221" s="42"/>
      <c r="X221" s="42"/>
      <c r="Y221" s="42"/>
    </row>
    <row r="222" spans="18:25" x14ac:dyDescent="0.25">
      <c r="R222" s="42"/>
      <c r="S222" s="42"/>
      <c r="T222" s="42"/>
      <c r="U222" s="42"/>
      <c r="V222" s="42"/>
      <c r="W222" s="42"/>
      <c r="X222" s="42"/>
      <c r="Y222" s="42"/>
    </row>
    <row r="223" spans="18:25" x14ac:dyDescent="0.25">
      <c r="R223" s="42"/>
      <c r="S223" s="42"/>
      <c r="T223" s="42"/>
      <c r="U223" s="42"/>
      <c r="V223" s="42"/>
      <c r="W223" s="42"/>
      <c r="X223" s="42"/>
      <c r="Y223" s="42"/>
    </row>
    <row r="224" spans="18:25" x14ac:dyDescent="0.25">
      <c r="R224" s="42"/>
      <c r="S224" s="42"/>
      <c r="T224" s="42"/>
      <c r="U224" s="42"/>
      <c r="V224" s="42"/>
      <c r="W224" s="42"/>
      <c r="X224" s="42"/>
      <c r="Y224" s="42"/>
    </row>
    <row r="225" spans="18:25" x14ac:dyDescent="0.25">
      <c r="R225" s="42"/>
      <c r="S225" s="42"/>
      <c r="T225" s="42"/>
      <c r="U225" s="42"/>
      <c r="V225" s="42"/>
      <c r="W225" s="42"/>
      <c r="X225" s="42"/>
      <c r="Y225" s="42"/>
    </row>
    <row r="226" spans="18:25" x14ac:dyDescent="0.25">
      <c r="R226" s="42"/>
      <c r="S226" s="42"/>
      <c r="T226" s="42"/>
      <c r="U226" s="42"/>
      <c r="V226" s="42"/>
      <c r="W226" s="42"/>
      <c r="X226" s="42"/>
      <c r="Y226" s="42"/>
    </row>
    <row r="227" spans="18:25" x14ac:dyDescent="0.25">
      <c r="R227" s="42"/>
      <c r="S227" s="42"/>
      <c r="T227" s="42"/>
      <c r="U227" s="42"/>
      <c r="V227" s="42"/>
      <c r="W227" s="42"/>
      <c r="X227" s="42"/>
      <c r="Y227" s="42"/>
    </row>
    <row r="228" spans="18:25" x14ac:dyDescent="0.25">
      <c r="R228" s="42"/>
      <c r="S228" s="42"/>
      <c r="T228" s="42"/>
      <c r="U228" s="42"/>
      <c r="V228" s="42"/>
      <c r="W228" s="42"/>
      <c r="X228" s="42"/>
      <c r="Y228" s="42"/>
    </row>
    <row r="229" spans="18:25" x14ac:dyDescent="0.25">
      <c r="R229" s="42"/>
      <c r="S229" s="42"/>
      <c r="T229" s="42"/>
      <c r="U229" s="42"/>
      <c r="V229" s="42"/>
      <c r="W229" s="42"/>
      <c r="X229" s="42"/>
      <c r="Y229" s="42"/>
    </row>
    <row r="230" spans="18:25" x14ac:dyDescent="0.25">
      <c r="R230" s="42"/>
      <c r="S230" s="42"/>
      <c r="T230" s="42"/>
      <c r="U230" s="42"/>
      <c r="V230" s="42"/>
      <c r="W230" s="42"/>
      <c r="X230" s="42"/>
      <c r="Y230" s="42"/>
    </row>
    <row r="231" spans="18:25" x14ac:dyDescent="0.25">
      <c r="R231" s="42"/>
      <c r="S231" s="42"/>
      <c r="T231" s="42"/>
      <c r="U231" s="42"/>
      <c r="V231" s="42"/>
      <c r="W231" s="42"/>
      <c r="X231" s="42"/>
      <c r="Y231" s="42"/>
    </row>
    <row r="232" spans="18:25" x14ac:dyDescent="0.25">
      <c r="R232" s="42"/>
      <c r="S232" s="42"/>
      <c r="T232" s="42"/>
      <c r="U232" s="42"/>
      <c r="V232" s="42"/>
      <c r="W232" s="42"/>
      <c r="X232" s="42"/>
      <c r="Y232" s="42"/>
    </row>
  </sheetData>
  <pageMargins left="0.7" right="0.7" top="0.75" bottom="0.75" header="0.3" footer="0.3"/>
  <pageSetup paperSize="9" scale="68" fitToHeight="0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CEE47-F8B3-4C4E-88D1-8327A15DFB99}">
  <dimension ref="A3:I36"/>
  <sheetViews>
    <sheetView workbookViewId="0">
      <selection activeCell="B6" sqref="B6"/>
    </sheetView>
  </sheetViews>
  <sheetFormatPr baseColWidth="10" defaultColWidth="10.7109375" defaultRowHeight="12.75" x14ac:dyDescent="0.2"/>
  <cols>
    <col min="1" max="1" width="16" style="79" customWidth="1"/>
    <col min="2" max="2" width="11.28515625" style="80" bestFit="1" customWidth="1"/>
    <col min="3" max="4" width="11" style="80" bestFit="1" customWidth="1"/>
    <col min="5" max="5" width="11" style="80" customWidth="1"/>
    <col min="6" max="6" width="11" style="80" bestFit="1" customWidth="1"/>
    <col min="7" max="8" width="11.28515625" style="80" bestFit="1" customWidth="1"/>
    <col min="9" max="9" width="10.7109375" style="81"/>
    <col min="10" max="16384" width="10.7109375" style="79"/>
  </cols>
  <sheetData>
    <row r="3" spans="1:8" x14ac:dyDescent="0.2">
      <c r="B3" s="80" t="s">
        <v>106</v>
      </c>
      <c r="C3" s="80" t="s">
        <v>106</v>
      </c>
      <c r="D3" s="80" t="s">
        <v>103</v>
      </c>
      <c r="E3" s="80" t="s">
        <v>103</v>
      </c>
      <c r="F3" s="80" t="s">
        <v>24</v>
      </c>
      <c r="G3" s="80" t="s">
        <v>24</v>
      </c>
      <c r="H3" s="80" t="s">
        <v>17</v>
      </c>
    </row>
    <row r="4" spans="1:8" x14ac:dyDescent="0.2">
      <c r="B4" s="80" t="s">
        <v>104</v>
      </c>
      <c r="C4" s="80" t="s">
        <v>105</v>
      </c>
      <c r="D4" s="80" t="s">
        <v>104</v>
      </c>
      <c r="E4" s="80" t="s">
        <v>105</v>
      </c>
      <c r="F4" s="80" t="s">
        <v>104</v>
      </c>
      <c r="G4" s="80" t="s">
        <v>105</v>
      </c>
    </row>
    <row r="6" spans="1:8" x14ac:dyDescent="0.2">
      <c r="A6" s="79" t="s">
        <v>101</v>
      </c>
      <c r="B6" s="80">
        <f>313770.67+16833+7300</f>
        <v>337903.67</v>
      </c>
      <c r="C6" s="80">
        <v>6827</v>
      </c>
      <c r="D6" s="80">
        <v>60000</v>
      </c>
      <c r="E6" s="80">
        <v>20000</v>
      </c>
      <c r="F6" s="80">
        <v>126850</v>
      </c>
      <c r="G6" s="80">
        <f>18186.1+4800</f>
        <v>22986.1</v>
      </c>
      <c r="H6" s="80">
        <f>SUM(B6:G6)</f>
        <v>574566.7699999999</v>
      </c>
    </row>
    <row r="7" spans="1:8" x14ac:dyDescent="0.2">
      <c r="A7" s="79" t="s">
        <v>102</v>
      </c>
      <c r="B7" s="80">
        <f>-69429-197.9-2153.66-3433.2-3449.85-4946.88-17289.35-37844.92-5268</f>
        <v>-144012.76</v>
      </c>
      <c r="C7" s="80">
        <v>-6827</v>
      </c>
      <c r="D7" s="80">
        <v>-60808.02</v>
      </c>
      <c r="E7" s="80">
        <v>-20000</v>
      </c>
      <c r="F7" s="80">
        <v>-160080.88</v>
      </c>
      <c r="G7" s="80">
        <v>-22986</v>
      </c>
      <c r="H7" s="80">
        <f>SUM(B7:G7)</f>
        <v>-414714.66000000003</v>
      </c>
    </row>
    <row r="9" spans="1:8" x14ac:dyDescent="0.2">
      <c r="A9" s="79" t="s">
        <v>107</v>
      </c>
      <c r="B9" s="80">
        <f>SUM(B6:B8)</f>
        <v>193890.90999999997</v>
      </c>
      <c r="C9" s="80">
        <f t="shared" ref="C9:G9" si="0">SUM(C6:C8)</f>
        <v>0</v>
      </c>
      <c r="D9" s="80">
        <f t="shared" si="0"/>
        <v>-808.0199999999968</v>
      </c>
      <c r="E9" s="80">
        <f t="shared" si="0"/>
        <v>0</v>
      </c>
      <c r="F9" s="80">
        <f t="shared" si="0"/>
        <v>-33230.880000000005</v>
      </c>
      <c r="G9" s="80">
        <f t="shared" si="0"/>
        <v>9.9999999998544808E-2</v>
      </c>
      <c r="H9" s="80">
        <f>SUM(H6:H8)+1</f>
        <v>159853.10999999987</v>
      </c>
    </row>
    <row r="12" spans="1:8" x14ac:dyDescent="0.2">
      <c r="A12" s="79" t="s">
        <v>109</v>
      </c>
      <c r="B12" s="80">
        <v>29216</v>
      </c>
      <c r="C12" s="82">
        <f t="shared" ref="C12:C18" si="1">B12/$B$20</f>
        <v>8.6462511638302125E-2</v>
      </c>
    </row>
    <row r="13" spans="1:8" x14ac:dyDescent="0.2">
      <c r="A13" s="79" t="s">
        <v>110</v>
      </c>
      <c r="B13" s="80">
        <v>24835</v>
      </c>
      <c r="C13" s="82">
        <f t="shared" si="1"/>
        <v>7.3497278085201026E-2</v>
      </c>
    </row>
    <row r="14" spans="1:8" x14ac:dyDescent="0.2">
      <c r="A14" s="79" t="s">
        <v>111</v>
      </c>
      <c r="B14" s="80">
        <v>33268</v>
      </c>
      <c r="C14" s="82">
        <f t="shared" si="1"/>
        <v>9.8454094920010782E-2</v>
      </c>
    </row>
    <row r="15" spans="1:8" x14ac:dyDescent="0.2">
      <c r="A15" s="79" t="s">
        <v>108</v>
      </c>
      <c r="B15" s="80">
        <v>175000</v>
      </c>
      <c r="C15" s="82">
        <f t="shared" si="1"/>
        <v>0.51789908052789135</v>
      </c>
    </row>
    <row r="16" spans="1:8" x14ac:dyDescent="0.2">
      <c r="A16" s="79" t="s">
        <v>114</v>
      </c>
      <c r="B16" s="80">
        <v>16833</v>
      </c>
      <c r="C16" s="82">
        <f t="shared" si="1"/>
        <v>4.9815972700148536E-2</v>
      </c>
    </row>
    <row r="17" spans="1:3" x14ac:dyDescent="0.2">
      <c r="A17" s="79" t="s">
        <v>115</v>
      </c>
      <c r="B17" s="80">
        <f>40275+1397.6</f>
        <v>41672.6</v>
      </c>
      <c r="C17" s="82">
        <f t="shared" si="1"/>
        <v>0.12332686413260915</v>
      </c>
    </row>
    <row r="18" spans="1:3" x14ac:dyDescent="0.2">
      <c r="A18" s="79" t="s">
        <v>112</v>
      </c>
      <c r="B18" s="80">
        <f>B6-B12-B13-B14-B15-B16-B17</f>
        <v>17079.069999999985</v>
      </c>
      <c r="C18" s="82">
        <f t="shared" si="1"/>
        <v>5.0544197995837058E-2</v>
      </c>
    </row>
    <row r="19" spans="1:3" x14ac:dyDescent="0.2">
      <c r="C19" s="82"/>
    </row>
    <row r="20" spans="1:3" x14ac:dyDescent="0.2">
      <c r="A20" s="79" t="s">
        <v>25</v>
      </c>
      <c r="B20" s="80">
        <f>SUM(B12:B19)</f>
        <v>337903.67</v>
      </c>
      <c r="C20" s="82">
        <f>SUM(C12:C19)</f>
        <v>1.0000000000000002</v>
      </c>
    </row>
    <row r="23" spans="1:3" x14ac:dyDescent="0.2">
      <c r="A23" s="79" t="s">
        <v>113</v>
      </c>
    </row>
    <row r="25" spans="1:3" x14ac:dyDescent="0.2">
      <c r="A25" s="79" t="s">
        <v>88</v>
      </c>
      <c r="C25" s="82">
        <f>B25/$B$36</f>
        <v>0</v>
      </c>
    </row>
    <row r="26" spans="1:3" x14ac:dyDescent="0.2">
      <c r="A26" s="79" t="s">
        <v>116</v>
      </c>
      <c r="C26" s="82">
        <f t="shared" ref="C26:C36" si="2">B26/$B$36</f>
        <v>0</v>
      </c>
    </row>
    <row r="27" spans="1:3" x14ac:dyDescent="0.2">
      <c r="A27" s="79" t="s">
        <v>117</v>
      </c>
      <c r="C27" s="82">
        <f t="shared" si="2"/>
        <v>0</v>
      </c>
    </row>
    <row r="28" spans="1:3" x14ac:dyDescent="0.2">
      <c r="A28" s="79" t="s">
        <v>114</v>
      </c>
      <c r="C28" s="82">
        <f t="shared" si="2"/>
        <v>0</v>
      </c>
    </row>
    <row r="29" spans="1:3" x14ac:dyDescent="0.2">
      <c r="A29" s="79" t="s">
        <v>118</v>
      </c>
      <c r="C29" s="82">
        <f t="shared" si="2"/>
        <v>0</v>
      </c>
    </row>
    <row r="30" spans="1:3" x14ac:dyDescent="0.2">
      <c r="A30" s="79" t="s">
        <v>119</v>
      </c>
      <c r="C30" s="82">
        <f t="shared" si="2"/>
        <v>0</v>
      </c>
    </row>
    <row r="31" spans="1:3" x14ac:dyDescent="0.2">
      <c r="A31" s="79" t="s">
        <v>131</v>
      </c>
      <c r="B31" s="95">
        <v>16000</v>
      </c>
      <c r="C31" s="82"/>
    </row>
    <row r="32" spans="1:3" x14ac:dyDescent="0.2">
      <c r="A32" s="79" t="s">
        <v>120</v>
      </c>
      <c r="C32" s="82">
        <f t="shared" si="2"/>
        <v>0</v>
      </c>
    </row>
    <row r="33" spans="1:3" x14ac:dyDescent="0.2">
      <c r="A33" s="79" t="s">
        <v>121</v>
      </c>
      <c r="C33" s="82">
        <f t="shared" si="2"/>
        <v>0</v>
      </c>
    </row>
    <row r="34" spans="1:3" x14ac:dyDescent="0.2">
      <c r="A34" s="79" t="s">
        <v>122</v>
      </c>
      <c r="C34" s="82">
        <f t="shared" si="2"/>
        <v>0</v>
      </c>
    </row>
    <row r="35" spans="1:3" x14ac:dyDescent="0.2">
      <c r="C35" s="82"/>
    </row>
    <row r="36" spans="1:3" x14ac:dyDescent="0.2">
      <c r="A36" s="79" t="s">
        <v>36</v>
      </c>
      <c r="B36" s="80">
        <f>SUM(B25:B35)</f>
        <v>16000</v>
      </c>
      <c r="C36" s="82">
        <f t="shared" si="2"/>
        <v>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4B13691907AE4A8216F5E0E3E79A57" ma:contentTypeVersion="16" ma:contentTypeDescription="Opprett et nytt dokument." ma:contentTypeScope="" ma:versionID="48452a8dfb3070628ad37fbd6c3ad6f1">
  <xsd:schema xmlns:xsd="http://www.w3.org/2001/XMLSchema" xmlns:xs="http://www.w3.org/2001/XMLSchema" xmlns:p="http://schemas.microsoft.com/office/2006/metadata/properties" xmlns:ns2="afa498ab-e55e-4a03-87f8-1640bb3e3d0e" xmlns:ns3="6eb79655-b003-4acb-a2c8-96eeac5e8b0d" targetNamespace="http://schemas.microsoft.com/office/2006/metadata/properties" ma:root="true" ma:fieldsID="5205bf5fe82c08e8d2645ddf70666638" ns2:_="" ns3:_="">
    <xsd:import namespace="afa498ab-e55e-4a03-87f8-1640bb3e3d0e"/>
    <xsd:import namespace="6eb79655-b003-4acb-a2c8-96eeac5e8b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498ab-e55e-4a03-87f8-1640bb3e3d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ec2fc2d-a484-47fa-a9f2-42ba340748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79655-b003-4acb-a2c8-96eeac5e8b0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2c2facb-38fe-44da-b314-71bbcf68a26d}" ma:internalName="TaxCatchAll" ma:showField="CatchAllData" ma:web="6eb79655-b003-4acb-a2c8-96eeac5e8b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67766C-ACD5-4204-B198-E9A1BA3AAE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39ECB8-A518-444D-BE1A-52D205788E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a498ab-e55e-4a03-87f8-1640bb3e3d0e"/>
    <ds:schemaRef ds:uri="6eb79655-b003-4acb-a2c8-96eeac5e8b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7</vt:i4>
      </vt:variant>
    </vt:vector>
  </HeadingPairs>
  <TitlesOfParts>
    <vt:vector size="12" baseType="lpstr">
      <vt:lpstr>Resultatregnskap</vt:lpstr>
      <vt:lpstr>Balanse</vt:lpstr>
      <vt:lpstr>Noter</vt:lpstr>
      <vt:lpstr>Kontospesifisert</vt:lpstr>
      <vt:lpstr>Ark1</vt:lpstr>
      <vt:lpstr>Noter!dsarg</vt:lpstr>
      <vt:lpstr>Balanse!Print_Area</vt:lpstr>
      <vt:lpstr>Noter!Print_Area</vt:lpstr>
      <vt:lpstr>Resultatregnskap!Print_Area</vt:lpstr>
      <vt:lpstr>Noter!Print_Titles</vt:lpstr>
      <vt:lpstr>Kontospesifisert!Utskriftsområde</vt:lpstr>
      <vt:lpstr>Noter!Utskriftsområde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Ingebjørg Borgemyr</dc:creator>
  <cp:lastModifiedBy>Jan-Erik Berntsen</cp:lastModifiedBy>
  <cp:lastPrinted>2025-01-28T14:51:10Z</cp:lastPrinted>
  <dcterms:created xsi:type="dcterms:W3CDTF">2006-05-29T07:56:58Z</dcterms:created>
  <dcterms:modified xsi:type="dcterms:W3CDTF">2025-02-19T16:41:09Z</dcterms:modified>
</cp:coreProperties>
</file>